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e.stanford\Documents\"/>
    </mc:Choice>
  </mc:AlternateContent>
  <xr:revisionPtr revIDLastSave="0" documentId="8_{50B8BA94-4C37-4435-B714-0E2EC074D579}" xr6:coauthVersionLast="47" xr6:coauthVersionMax="47" xr10:uidLastSave="{00000000-0000-0000-0000-000000000000}"/>
  <bookViews>
    <workbookView xWindow="1905" yWindow="1905" windowWidth="21600" windowHeight="12735" activeTab="1" xr2:uid="{00000000-000D-0000-FFFF-FFFF00000000}"/>
  </bookViews>
  <sheets>
    <sheet name="Instructions" sheetId="3" r:id="rId1"/>
    <sheet name="My-Model" sheetId="1" r:id="rId2"/>
    <sheet name="DATA" sheetId="2" r:id="rId3"/>
  </sheets>
  <definedNames>
    <definedName name="Ben">'My-Model'!$B$6</definedName>
    <definedName name="CC_Hours">'My-Model'!$B$8</definedName>
    <definedName name="CC_rate">'My-Model'!$B$7</definedName>
    <definedName name="census">'My-Model'!$B$3</definedName>
    <definedName name="Days">'My-Model'!$B$5</definedName>
    <definedName name="Hours">'My-Model'!$C$5</definedName>
    <definedName name="NPR">'My-Model'!$C$3</definedName>
    <definedName name="period">'My-Model'!$E$3</definedName>
    <definedName name="Rate">'My-Model'!$B$4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C5" i="1" l="1"/>
  <c r="E20" i="1" l="1"/>
  <c r="E19" i="1"/>
  <c r="E18" i="1"/>
  <c r="E17" i="1"/>
  <c r="E16" i="1"/>
  <c r="E15" i="1"/>
  <c r="E14" i="1"/>
  <c r="E13" i="1"/>
  <c r="E12" i="1" l="1"/>
  <c r="N9" i="2" l="1"/>
  <c r="M6" i="1" s="1"/>
  <c r="N8" i="2"/>
  <c r="M5" i="1" s="1"/>
  <c r="N7" i="2"/>
  <c r="M4" i="1" s="1"/>
  <c r="N6" i="2"/>
  <c r="M3" i="1" s="1"/>
  <c r="N5" i="2"/>
  <c r="M2" i="1" s="1"/>
  <c r="K20" i="1" l="1"/>
  <c r="K6" i="1" l="1"/>
  <c r="K5" i="1"/>
  <c r="K4" i="1"/>
  <c r="K3" i="1"/>
  <c r="K2" i="1"/>
  <c r="F57" i="1" l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K21" i="1" l="1"/>
  <c r="I52" i="1" l="1"/>
  <c r="I51" i="1"/>
  <c r="I50" i="1"/>
  <c r="K52" i="1" l="1"/>
  <c r="K51" i="1"/>
  <c r="K50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19" i="1"/>
  <c r="K18" i="1"/>
  <c r="K17" i="1"/>
  <c r="K16" i="1"/>
  <c r="K15" i="1"/>
  <c r="K14" i="1"/>
  <c r="K13" i="1"/>
  <c r="K12" i="1"/>
  <c r="K45" i="1" l="1"/>
  <c r="K22" i="1"/>
  <c r="M53" i="1"/>
  <c r="M45" i="1"/>
  <c r="K53" i="1"/>
  <c r="K47" i="1" l="1"/>
  <c r="K55" i="1" s="1"/>
  <c r="K57" i="1" s="1"/>
  <c r="J14" i="2"/>
  <c r="M21" i="1" s="1"/>
  <c r="F12" i="1"/>
  <c r="K5" i="2" s="1"/>
  <c r="J12" i="2" l="1"/>
  <c r="M19" i="1" s="1"/>
  <c r="J9" i="2"/>
  <c r="M16" i="1" s="1"/>
  <c r="J13" i="2"/>
  <c r="M20" i="1" s="1"/>
  <c r="J10" i="2"/>
  <c r="M17" i="1" s="1"/>
  <c r="J11" i="2"/>
  <c r="M18" i="1" s="1"/>
  <c r="J8" i="2"/>
  <c r="M15" i="1" s="1"/>
  <c r="J6" i="2" l="1"/>
  <c r="M13" i="1" s="1"/>
  <c r="J5" i="2"/>
  <c r="M12" i="1" s="1"/>
  <c r="J7" i="2"/>
  <c r="M14" i="1" s="1"/>
  <c r="M22" i="1" l="1"/>
  <c r="M47" i="1" s="1"/>
  <c r="M55" i="1" s="1"/>
  <c r="M57" i="1" s="1"/>
</calcChain>
</file>

<file path=xl/sharedStrings.xml><?xml version="1.0" encoding="utf-8"?>
<sst xmlns="http://schemas.openxmlformats.org/spreadsheetml/2006/main" count="227" uniqueCount="131">
  <si>
    <t>Employee</t>
  </si>
  <si>
    <t>Discipline</t>
  </si>
  <si>
    <t>Hourly</t>
  </si>
  <si>
    <t>Base Rate</t>
  </si>
  <si>
    <t>Hours In</t>
  </si>
  <si>
    <t>Period</t>
  </si>
  <si>
    <t>Other</t>
  </si>
  <si>
    <t>Y</t>
  </si>
  <si>
    <t>N</t>
  </si>
  <si>
    <t>Aide</t>
  </si>
  <si>
    <t>Average_Census</t>
  </si>
  <si>
    <t>Days in Period</t>
  </si>
  <si>
    <t>Benefits Percent</t>
  </si>
  <si>
    <t>Period_Pay</t>
  </si>
  <si>
    <t>w/Ben</t>
  </si>
  <si>
    <t>Bonus</t>
  </si>
  <si>
    <t>Expectation</t>
  </si>
  <si>
    <t>Name</t>
  </si>
  <si>
    <t>Composite_Rate</t>
  </si>
  <si>
    <t>Direct Labor</t>
  </si>
  <si>
    <t>Nurses</t>
  </si>
  <si>
    <t>CNA</t>
  </si>
  <si>
    <t>SW</t>
  </si>
  <si>
    <t>PC</t>
  </si>
  <si>
    <t>Physician</t>
  </si>
  <si>
    <t>On-Call</t>
  </si>
  <si>
    <t>Admissions</t>
  </si>
  <si>
    <t>Bereavement</t>
  </si>
  <si>
    <t>Volunteer</t>
  </si>
  <si>
    <t>Ambulance</t>
  </si>
  <si>
    <t>Bio Hazardous</t>
  </si>
  <si>
    <t>Continuous Care</t>
  </si>
  <si>
    <t>Dietary &amp; Dietary Labor</t>
  </si>
  <si>
    <t>DME</t>
  </si>
  <si>
    <t>ER</t>
  </si>
  <si>
    <t>Food &amp; Kitchen Labor</t>
  </si>
  <si>
    <t>Imaging</t>
  </si>
  <si>
    <t>Lab</t>
  </si>
  <si>
    <t>Linen</t>
  </si>
  <si>
    <t>Medical Supplies</t>
  </si>
  <si>
    <t>Mileage</t>
  </si>
  <si>
    <t>Mobile Phone</t>
  </si>
  <si>
    <t>Outpatient</t>
  </si>
  <si>
    <t>Oxygen (for Unit Only)</t>
  </si>
  <si>
    <t>Pagers</t>
  </si>
  <si>
    <t>Pharmacy</t>
  </si>
  <si>
    <t>Therapies</t>
  </si>
  <si>
    <t>Therapies Chemo</t>
  </si>
  <si>
    <t>Therapies IV/Biological</t>
  </si>
  <si>
    <t>Therapies Labor</t>
  </si>
  <si>
    <t>Pass-Through Residual</t>
  </si>
  <si>
    <t>Contribution Margin</t>
  </si>
  <si>
    <t>Patient-Related Expenses</t>
  </si>
  <si>
    <t>Net Patient Revenue</t>
  </si>
  <si>
    <t>Total Direct Labor &amp; Patient Related</t>
  </si>
  <si>
    <t>x</t>
  </si>
  <si>
    <t>Total Responsible Indirect Expenses</t>
  </si>
  <si>
    <t>SC</t>
  </si>
  <si>
    <t>Model</t>
  </si>
  <si>
    <t>NPR Targets</t>
  </si>
  <si>
    <t>Agency Model Values</t>
  </si>
  <si>
    <t>Responsible Indirect Expenses</t>
  </si>
  <si>
    <t>Total Location Expense</t>
  </si>
  <si>
    <t>RN</t>
  </si>
  <si>
    <t>LPN</t>
  </si>
  <si>
    <t>Physician (Net)</t>
  </si>
  <si>
    <t>Spiritual Care</t>
  </si>
  <si>
    <t>Responsible Indirects</t>
  </si>
  <si>
    <t>Labor Pulls from</t>
  </si>
  <si>
    <t>Hospice Team Tool</t>
  </si>
  <si>
    <t>version 19.0</t>
  </si>
  <si>
    <t>The purpose of this tool is to allow Hospice Clinical or Team Managers to project how changes in census and cost inputs will affect the team's contribution margin.</t>
  </si>
  <si>
    <t>1. Fill in the Agency Model Values at right. These will populate in the Agency-Wide NPR Model column on the My-Model tab.</t>
  </si>
  <si>
    <t>Employee Table at Left</t>
  </si>
  <si>
    <t>2. On the My-Model tab fill in</t>
  </si>
  <si>
    <t xml:space="preserve">    Average Census</t>
  </si>
  <si>
    <t xml:space="preserve">    Composite reimbursement rate</t>
  </si>
  <si>
    <t xml:space="preserve">    Day in Period (usually for one month)</t>
  </si>
  <si>
    <t xml:space="preserve">    Benefits percentage--available in your Benchmarking</t>
  </si>
  <si>
    <t xml:space="preserve">    Period name is optional</t>
  </si>
  <si>
    <t>3. Using the Employees Table</t>
  </si>
  <si>
    <t xml:space="preserve">    Enter each employee's name</t>
  </si>
  <si>
    <t xml:space="preserve">    The employee's discipline using the drop down menu</t>
  </si>
  <si>
    <t xml:space="preserve">    Their hourly rate (if salaried, divide weekly salary by 40)</t>
  </si>
  <si>
    <t xml:space="preserve">    The number of hours you project the employee to work</t>
  </si>
  <si>
    <t xml:space="preserve">        (For a month that is usually 178 for full timers)</t>
  </si>
  <si>
    <t xml:space="preserve">    Any excellence pay bonus you expect the employee to earn</t>
  </si>
  <si>
    <t>5. Manipulate the values in the employee table and in the</t>
  </si>
  <si>
    <t xml:space="preserve">dial in your optimal mix of costs to reach your </t>
  </si>
  <si>
    <t>Other_Labor</t>
  </si>
  <si>
    <t>Other Direct Labor</t>
  </si>
  <si>
    <t>RN Target Caseload</t>
  </si>
  <si>
    <t>LPN Target Caseload</t>
  </si>
  <si>
    <t>Aide Target Caseload</t>
  </si>
  <si>
    <t>SW Target Caseload</t>
  </si>
  <si>
    <t>SC Target Caseload</t>
  </si>
  <si>
    <t>FTEs Required</t>
  </si>
  <si>
    <t>FTE's in Employee List</t>
  </si>
  <si>
    <t>Projected Costs</t>
  </si>
  <si>
    <t xml:space="preserve">non-direct labor sections of the Projections column to </t>
  </si>
  <si>
    <t>contribution margin standard.</t>
  </si>
  <si>
    <t>Enter Values (Team-Location Report)</t>
  </si>
  <si>
    <t>Routine Homecare</t>
  </si>
  <si>
    <t xml:space="preserve">4. In the Projected Costs column (M), paste values from </t>
  </si>
  <si>
    <t>your team-location report (patient-releated costs only)</t>
  </si>
  <si>
    <t>Nancy Mueller</t>
  </si>
  <si>
    <t>Rahma Brown</t>
  </si>
  <si>
    <t>Michelle Elsworth</t>
  </si>
  <si>
    <t>JT Lapp</t>
  </si>
  <si>
    <t>Kevin Rickert</t>
  </si>
  <si>
    <t>Troy Gehrke</t>
  </si>
  <si>
    <t>Bill Taylor</t>
  </si>
  <si>
    <t>Carolyn Hubbard</t>
  </si>
  <si>
    <t>John Powell</t>
  </si>
  <si>
    <t>Micah Taylor</t>
  </si>
  <si>
    <t>Wayne Redding</t>
  </si>
  <si>
    <t>Andrew Reed</t>
  </si>
  <si>
    <t>Volunteer Coordinator</t>
  </si>
  <si>
    <t>February</t>
  </si>
  <si>
    <t xml:space="preserve">Note:  When tool is used on a monthly basis, </t>
  </si>
  <si>
    <t xml:space="preserve">     all 1.0 FTE should show 173 hours in the Period</t>
  </si>
  <si>
    <t>1.0 FTE</t>
  </si>
  <si>
    <t>173 hours/month</t>
  </si>
  <si>
    <t>.8 FTE</t>
  </si>
  <si>
    <t>138.4 hours/month</t>
  </si>
  <si>
    <t>.6 FTE</t>
  </si>
  <si>
    <t>103.8 hours/month</t>
  </si>
  <si>
    <t>.5 FTE</t>
  </si>
  <si>
    <t>86.5 hours/month</t>
  </si>
  <si>
    <t>Continuous Care Rate</t>
  </si>
  <si>
    <t># Hrs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</si>
</sst>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11A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0" xfId="1" applyNumberFormat="1" applyFont="1"/>
    <xf numFmtId="0" fontId="5" fillId="0" borderId="0" xfId="0" applyFont="1"/>
    <xf numFmtId="0" fontId="4" fillId="0" borderId="0" xfId="0" applyFont="1"/>
    <xf numFmtId="0" fontId="2" fillId="0" borderId="2" xfId="0" applyFont="1" applyBorder="1"/>
    <xf numFmtId="0" fontId="1" fillId="2" borderId="6" xfId="0" applyFont="1" applyFill="1" applyBorder="1" applyAlignment="1">
      <alignment horizontal="center"/>
    </xf>
    <xf numFmtId="0" fontId="2" fillId="0" borderId="7" xfId="0" applyFont="1" applyBorder="1"/>
    <xf numFmtId="0" fontId="1" fillId="2" borderId="8" xfId="0" applyFont="1" applyFill="1" applyBorder="1" applyAlignment="1">
      <alignment horizontal="center"/>
    </xf>
    <xf numFmtId="0" fontId="2" fillId="0" borderId="4" xfId="0" applyFont="1" applyBorder="1"/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9" fontId="0" fillId="0" borderId="0" xfId="2" applyFont="1" applyAlignment="1">
      <alignment horizontal="center" vertical="center"/>
    </xf>
    <xf numFmtId="9" fontId="0" fillId="3" borderId="0" xfId="2" applyFont="1" applyFill="1" applyAlignment="1">
      <alignment horizontal="center" vertical="center"/>
    </xf>
    <xf numFmtId="9" fontId="0" fillId="2" borderId="0" xfId="2" applyFont="1" applyFill="1" applyAlignment="1">
      <alignment horizontal="center" vertical="center"/>
    </xf>
    <xf numFmtId="9" fontId="0" fillId="0" borderId="0" xfId="2" applyFont="1"/>
    <xf numFmtId="9" fontId="0" fillId="3" borderId="11" xfId="2" applyFont="1" applyFill="1" applyBorder="1" applyAlignment="1">
      <alignment horizontal="center" vertical="center"/>
    </xf>
    <xf numFmtId="9" fontId="4" fillId="3" borderId="0" xfId="2" applyFont="1" applyFill="1" applyAlignment="1">
      <alignment horizontal="center" vertical="center"/>
    </xf>
    <xf numFmtId="9" fontId="4" fillId="0" borderId="0" xfId="2" applyFont="1" applyAlignment="1">
      <alignment horizontal="center" vertical="center"/>
    </xf>
    <xf numFmtId="9" fontId="4" fillId="3" borderId="11" xfId="2" applyFont="1" applyFill="1" applyBorder="1" applyAlignment="1">
      <alignment horizontal="center" vertical="center"/>
    </xf>
    <xf numFmtId="9" fontId="4" fillId="4" borderId="0" xfId="2" applyFont="1" applyFill="1" applyAlignment="1">
      <alignment horizontal="center" vertical="center"/>
    </xf>
    <xf numFmtId="165" fontId="0" fillId="3" borderId="0" xfId="2" applyNumberFormat="1" applyFont="1" applyFill="1" applyAlignment="1">
      <alignment horizontal="center" vertical="center"/>
    </xf>
    <xf numFmtId="165" fontId="0" fillId="3" borderId="11" xfId="2" applyNumberFormat="1" applyFont="1" applyFill="1" applyBorder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165" fontId="4" fillId="4" borderId="0" xfId="2" applyNumberFormat="1" applyFont="1" applyFill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0" fontId="0" fillId="2" borderId="0" xfId="2" applyNumberFormat="1" applyFont="1" applyFill="1"/>
    <xf numFmtId="10" fontId="0" fillId="0" borderId="0" xfId="2" applyNumberFormat="1" applyFont="1"/>
    <xf numFmtId="0" fontId="0" fillId="2" borderId="0" xfId="0" applyFill="1"/>
    <xf numFmtId="0" fontId="0" fillId="5" borderId="0" xfId="0" applyFill="1"/>
    <xf numFmtId="0" fontId="0" fillId="2" borderId="0" xfId="2" applyNumberFormat="1" applyFont="1" applyFill="1" applyAlignment="1">
      <alignment horizontal="center" vertical="center"/>
    </xf>
    <xf numFmtId="9" fontId="4" fillId="5" borderId="0" xfId="2" applyFont="1" applyFill="1" applyAlignment="1">
      <alignment horizontal="center" vertical="center"/>
    </xf>
    <xf numFmtId="9" fontId="0" fillId="5" borderId="0" xfId="2" applyFont="1" applyFill="1" applyAlignment="1">
      <alignment horizontal="center" vertical="center"/>
    </xf>
    <xf numFmtId="0" fontId="0" fillId="5" borderId="0" xfId="2" applyNumberFormat="1" applyFont="1" applyFill="1" applyAlignment="1">
      <alignment horizontal="center" vertical="center"/>
    </xf>
    <xf numFmtId="166" fontId="0" fillId="5" borderId="0" xfId="2" applyNumberFormat="1" applyFont="1" applyFill="1" applyAlignment="1">
      <alignment horizontal="center" vertical="center"/>
    </xf>
    <xf numFmtId="43" fontId="0" fillId="0" borderId="0" xfId="0" applyNumberFormat="1"/>
    <xf numFmtId="0" fontId="0" fillId="6" borderId="0" xfId="0" applyFill="1"/>
    <xf numFmtId="0" fontId="4" fillId="6" borderId="0" xfId="0" applyFont="1" applyFill="1"/>
    <xf numFmtId="9" fontId="0" fillId="6" borderId="0" xfId="2" applyFont="1" applyFill="1"/>
    <xf numFmtId="2" fontId="1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0" fillId="7" borderId="0" xfId="0" applyFill="1" applyProtection="1">
      <protection locked="0"/>
    </xf>
    <xf numFmtId="0" fontId="0" fillId="0" borderId="0" xfId="0" applyProtection="1">
      <protection locked="0"/>
    </xf>
    <xf numFmtId="9" fontId="1" fillId="2" borderId="8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1" fontId="1" fillId="2" borderId="9" xfId="2" applyNumberFormat="1" applyFont="1" applyFill="1" applyBorder="1" applyAlignment="1">
      <alignment horizontal="center"/>
    </xf>
    <xf numFmtId="2" fontId="0" fillId="0" borderId="1" xfId="0" applyNumberFormat="1" applyBorder="1"/>
    <xf numFmtId="0" fontId="0" fillId="0" borderId="0" xfId="0" applyAlignment="1">
      <alignment horizontal="left" vertical="top"/>
    </xf>
    <xf numFmtId="0" fontId="4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6">
    <dxf>
      <fill>
        <patternFill>
          <bgColor rgb="FFF28E9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98B95"/>
        </patternFill>
      </fill>
    </dxf>
    <dxf>
      <fill>
        <patternFill>
          <bgColor theme="9" tint="0.39994506668294322"/>
        </patternFill>
      </fill>
    </dxf>
    <dxf>
      <fill>
        <patternFill>
          <bgColor rgb="FFF88089"/>
        </patternFill>
      </fill>
    </dxf>
  </dxfs>
  <tableStyles count="0" defaultTableStyle="TableStyleMedium2" defaultPivotStyle="PivotStyleLight16"/>
  <colors>
    <mruColors>
      <color rgb="FFF98B95"/>
      <color rgb="FFF28E95"/>
      <color rgb="FFF07C84"/>
      <color rgb="FFF68E9D"/>
      <color rgb="FFF87481"/>
      <color rgb="FFF8808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123825</xdr:rowOff>
    </xdr:from>
    <xdr:to>
      <xdr:col>5</xdr:col>
      <xdr:colOff>66675</xdr:colOff>
      <xdr:row>3</xdr:row>
      <xdr:rowOff>25542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A9873D3C-5DD0-4216-8765-2F2394D9D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23825"/>
          <a:ext cx="1981200" cy="473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K40"/>
  <sheetViews>
    <sheetView showGridLines="0" workbookViewId="0">
      <selection activeCell="K11" sqref="K11"/>
    </sheetView>
  </sheetViews>
  <sheetFormatPr defaultRowHeight="15" x14ac:dyDescent="0.25"/>
  <cols>
    <col min="1" max="1" width="4.28515625" customWidth="1"/>
    <col min="9" max="9" width="21.7109375" bestFit="1" customWidth="1"/>
    <col min="11" max="11" width="9.28515625" style="31"/>
  </cols>
  <sheetData>
    <row r="4" spans="2:11" x14ac:dyDescent="0.25">
      <c r="I4" s="54" t="s">
        <v>60</v>
      </c>
      <c r="J4" s="54"/>
      <c r="K4" s="54"/>
    </row>
    <row r="5" spans="2:11" ht="18.75" x14ac:dyDescent="0.3">
      <c r="B5" s="55" t="s">
        <v>69</v>
      </c>
      <c r="C5" s="55"/>
      <c r="D5" s="55"/>
      <c r="E5" s="55"/>
      <c r="F5" s="55"/>
      <c r="I5" t="s">
        <v>20</v>
      </c>
      <c r="K5" s="30">
        <v>0.14000000000000001</v>
      </c>
    </row>
    <row r="6" spans="2:11" x14ac:dyDescent="0.25">
      <c r="C6" s="56" t="s">
        <v>70</v>
      </c>
      <c r="D6" s="56"/>
      <c r="E6" s="56"/>
      <c r="I6" t="s">
        <v>21</v>
      </c>
      <c r="K6" s="30">
        <v>7.0000000000000007E-2</v>
      </c>
    </row>
    <row r="7" spans="2:11" x14ac:dyDescent="0.25">
      <c r="I7" t="s">
        <v>22</v>
      </c>
      <c r="K7" s="30">
        <v>0.04</v>
      </c>
    </row>
    <row r="8" spans="2:11" ht="15" customHeight="1" x14ac:dyDescent="0.25">
      <c r="B8" s="57" t="s">
        <v>71</v>
      </c>
      <c r="C8" s="57"/>
      <c r="D8" s="57"/>
      <c r="E8" s="57"/>
      <c r="F8" s="57"/>
      <c r="G8" s="57"/>
      <c r="I8" t="s">
        <v>23</v>
      </c>
      <c r="K8" s="30">
        <v>0.03</v>
      </c>
    </row>
    <row r="9" spans="2:11" x14ac:dyDescent="0.25">
      <c r="B9" s="57"/>
      <c r="C9" s="57"/>
      <c r="D9" s="57"/>
      <c r="E9" s="57"/>
      <c r="F9" s="57"/>
      <c r="G9" s="57"/>
      <c r="I9" t="s">
        <v>24</v>
      </c>
      <c r="K9" s="30">
        <v>0</v>
      </c>
    </row>
    <row r="10" spans="2:11" x14ac:dyDescent="0.25">
      <c r="B10" s="57"/>
      <c r="C10" s="57"/>
      <c r="D10" s="57"/>
      <c r="E10" s="57"/>
      <c r="F10" s="57"/>
      <c r="G10" s="57"/>
      <c r="I10" t="s">
        <v>25</v>
      </c>
      <c r="K10" s="30">
        <v>0</v>
      </c>
    </row>
    <row r="11" spans="2:11" x14ac:dyDescent="0.25">
      <c r="B11" s="28"/>
      <c r="C11" s="28"/>
      <c r="D11" s="28"/>
      <c r="E11" s="28"/>
      <c r="F11" s="28"/>
      <c r="G11" s="28"/>
      <c r="I11" t="s">
        <v>26</v>
      </c>
      <c r="K11" s="30">
        <v>0</v>
      </c>
    </row>
    <row r="12" spans="2:11" x14ac:dyDescent="0.25">
      <c r="B12" s="58" t="s">
        <v>72</v>
      </c>
      <c r="C12" s="58"/>
      <c r="D12" s="58"/>
      <c r="E12" s="58"/>
      <c r="F12" s="58"/>
      <c r="G12" s="58"/>
      <c r="I12" t="s">
        <v>27</v>
      </c>
      <c r="K12" s="30">
        <v>0</v>
      </c>
    </row>
    <row r="13" spans="2:11" x14ac:dyDescent="0.25">
      <c r="B13" s="58"/>
      <c r="C13" s="58"/>
      <c r="D13" s="58"/>
      <c r="E13" s="58"/>
      <c r="F13" s="58"/>
      <c r="G13" s="58"/>
      <c r="I13" t="s">
        <v>28</v>
      </c>
      <c r="K13" s="30">
        <v>0</v>
      </c>
    </row>
    <row r="14" spans="2:11" x14ac:dyDescent="0.25">
      <c r="B14" s="58"/>
      <c r="C14" s="58"/>
      <c r="D14" s="58"/>
      <c r="E14" s="58"/>
      <c r="F14" s="58"/>
      <c r="G14" s="58"/>
      <c r="I14" t="s">
        <v>89</v>
      </c>
      <c r="K14" s="30">
        <v>0</v>
      </c>
    </row>
    <row r="15" spans="2:11" x14ac:dyDescent="0.25">
      <c r="B15" s="29"/>
      <c r="C15" s="29"/>
      <c r="D15" s="29"/>
      <c r="E15" s="29"/>
      <c r="F15" s="29"/>
      <c r="G15" s="29"/>
      <c r="I15" t="s">
        <v>29</v>
      </c>
      <c r="K15" s="30">
        <v>1.8E-3</v>
      </c>
    </row>
    <row r="16" spans="2:11" x14ac:dyDescent="0.25">
      <c r="B16" s="53" t="s">
        <v>74</v>
      </c>
      <c r="C16" s="53"/>
      <c r="D16" s="53"/>
      <c r="E16" s="53"/>
      <c r="F16" s="53"/>
      <c r="G16" s="53"/>
      <c r="I16" t="s">
        <v>30</v>
      </c>
      <c r="K16" s="30">
        <v>0</v>
      </c>
    </row>
    <row r="17" spans="2:11" x14ac:dyDescent="0.25">
      <c r="B17" s="29" t="s">
        <v>75</v>
      </c>
      <c r="C17" s="29"/>
      <c r="D17" s="29"/>
      <c r="E17" s="29"/>
      <c r="F17" s="29"/>
      <c r="G17" s="29"/>
      <c r="I17" t="s">
        <v>31</v>
      </c>
      <c r="K17" s="30">
        <v>0</v>
      </c>
    </row>
    <row r="18" spans="2:11" x14ac:dyDescent="0.25">
      <c r="B18" s="29" t="s">
        <v>76</v>
      </c>
      <c r="C18" s="29"/>
      <c r="D18" s="29"/>
      <c r="E18" s="29"/>
      <c r="F18" s="29"/>
      <c r="G18" s="29"/>
      <c r="I18" t="s">
        <v>32</v>
      </c>
      <c r="K18" s="30">
        <v>2.9999999999999997E-4</v>
      </c>
    </row>
    <row r="19" spans="2:11" x14ac:dyDescent="0.25">
      <c r="B19" s="29" t="s">
        <v>77</v>
      </c>
      <c r="C19" s="29"/>
      <c r="D19" s="29"/>
      <c r="E19" s="29"/>
      <c r="F19" s="29"/>
      <c r="G19" s="29"/>
      <c r="I19" t="s">
        <v>33</v>
      </c>
      <c r="K19" s="30">
        <v>4.1700000000000001E-2</v>
      </c>
    </row>
    <row r="20" spans="2:11" x14ac:dyDescent="0.25">
      <c r="B20" s="29" t="s">
        <v>78</v>
      </c>
      <c r="C20" s="29"/>
      <c r="D20" s="29"/>
      <c r="E20" s="29"/>
      <c r="F20" s="29"/>
      <c r="G20" s="29"/>
      <c r="I20" t="s">
        <v>34</v>
      </c>
      <c r="K20" s="30">
        <v>2.0000000000000001E-4</v>
      </c>
    </row>
    <row r="21" spans="2:11" x14ac:dyDescent="0.25">
      <c r="B21" s="29" t="s">
        <v>79</v>
      </c>
      <c r="C21" s="29"/>
      <c r="D21" s="29"/>
      <c r="E21" s="29"/>
      <c r="F21" s="29"/>
      <c r="G21" s="29"/>
      <c r="I21" t="s">
        <v>35</v>
      </c>
      <c r="K21" s="30">
        <v>1.1000000000000001E-3</v>
      </c>
    </row>
    <row r="22" spans="2:11" x14ac:dyDescent="0.25">
      <c r="B22" s="29"/>
      <c r="C22" s="29"/>
      <c r="D22" s="29"/>
      <c r="E22" s="29"/>
      <c r="F22" s="29"/>
      <c r="G22" s="29"/>
      <c r="I22" t="s">
        <v>36</v>
      </c>
      <c r="K22" s="30">
        <v>6.9999999999999999E-4</v>
      </c>
    </row>
    <row r="23" spans="2:11" x14ac:dyDescent="0.25">
      <c r="B23" s="29" t="s">
        <v>80</v>
      </c>
      <c r="C23" s="29"/>
      <c r="D23" s="29"/>
      <c r="E23" s="29"/>
      <c r="F23" s="29"/>
      <c r="G23" s="29"/>
      <c r="I23" t="s">
        <v>37</v>
      </c>
      <c r="K23" s="30">
        <v>1.1000000000000001E-3</v>
      </c>
    </row>
    <row r="24" spans="2:11" x14ac:dyDescent="0.25">
      <c r="B24" s="29" t="s">
        <v>81</v>
      </c>
      <c r="C24" s="29"/>
      <c r="D24" s="29"/>
      <c r="E24" s="29"/>
      <c r="F24" s="29"/>
      <c r="G24" s="29"/>
      <c r="I24" t="s">
        <v>38</v>
      </c>
      <c r="K24" s="30">
        <v>0</v>
      </c>
    </row>
    <row r="25" spans="2:11" x14ac:dyDescent="0.25">
      <c r="B25" s="29" t="s">
        <v>82</v>
      </c>
      <c r="C25" s="29"/>
      <c r="D25" s="29"/>
      <c r="E25" s="29"/>
      <c r="F25" s="29"/>
      <c r="G25" s="29"/>
      <c r="I25" t="s">
        <v>39</v>
      </c>
      <c r="K25" s="30">
        <v>2.52E-2</v>
      </c>
    </row>
    <row r="26" spans="2:11" x14ac:dyDescent="0.25">
      <c r="B26" s="29" t="s">
        <v>83</v>
      </c>
      <c r="C26" s="29"/>
      <c r="D26" s="29"/>
      <c r="E26" s="29"/>
      <c r="F26" s="29"/>
      <c r="G26" s="29"/>
      <c r="I26" t="s">
        <v>40</v>
      </c>
      <c r="K26" s="30">
        <v>1.9599999999999999E-2</v>
      </c>
    </row>
    <row r="27" spans="2:11" x14ac:dyDescent="0.25">
      <c r="B27" s="29" t="s">
        <v>84</v>
      </c>
      <c r="C27" s="29"/>
      <c r="D27" s="29"/>
      <c r="E27" s="29"/>
      <c r="F27" s="29"/>
      <c r="G27" s="29"/>
      <c r="I27" t="s">
        <v>41</v>
      </c>
      <c r="K27" s="30">
        <v>3.0999999999999999E-3</v>
      </c>
    </row>
    <row r="28" spans="2:11" x14ac:dyDescent="0.25">
      <c r="B28" s="29" t="s">
        <v>85</v>
      </c>
      <c r="C28" s="29"/>
      <c r="D28" s="29"/>
      <c r="E28" s="29"/>
      <c r="F28" s="29"/>
      <c r="G28" s="29"/>
      <c r="I28" t="s">
        <v>6</v>
      </c>
      <c r="K28" s="30">
        <v>1E-4</v>
      </c>
    </row>
    <row r="29" spans="2:11" x14ac:dyDescent="0.25">
      <c r="B29" s="29" t="s">
        <v>86</v>
      </c>
      <c r="C29" s="29"/>
      <c r="D29" s="29"/>
      <c r="E29" s="29"/>
      <c r="F29" s="29"/>
      <c r="G29" s="29"/>
      <c r="I29" t="s">
        <v>42</v>
      </c>
      <c r="K29" s="30">
        <v>5.9999999999999995E-4</v>
      </c>
    </row>
    <row r="30" spans="2:11" x14ac:dyDescent="0.25">
      <c r="B30" s="29"/>
      <c r="C30" s="29"/>
      <c r="D30" s="29"/>
      <c r="E30" s="29"/>
      <c r="F30" s="29"/>
      <c r="G30" s="29"/>
      <c r="I30" t="s">
        <v>43</v>
      </c>
      <c r="K30" s="30">
        <v>0</v>
      </c>
    </row>
    <row r="31" spans="2:11" x14ac:dyDescent="0.25">
      <c r="B31" s="29" t="s">
        <v>103</v>
      </c>
      <c r="C31" s="29"/>
      <c r="D31" s="29"/>
      <c r="E31" s="29"/>
      <c r="F31" s="29"/>
      <c r="G31" s="29"/>
      <c r="I31" t="s">
        <v>44</v>
      </c>
      <c r="K31" s="30">
        <v>0</v>
      </c>
    </row>
    <row r="32" spans="2:11" x14ac:dyDescent="0.25">
      <c r="B32" s="29" t="s">
        <v>104</v>
      </c>
      <c r="C32" s="29"/>
      <c r="D32" s="29"/>
      <c r="E32" s="29"/>
      <c r="F32" s="29"/>
      <c r="G32" s="29"/>
      <c r="I32" t="s">
        <v>45</v>
      </c>
      <c r="K32" s="30">
        <v>3.2199999999999999E-2</v>
      </c>
    </row>
    <row r="33" spans="2:11" x14ac:dyDescent="0.25">
      <c r="B33" s="29"/>
      <c r="C33" s="29"/>
      <c r="D33" s="29"/>
      <c r="E33" s="29"/>
      <c r="F33" s="29"/>
      <c r="G33" s="29"/>
      <c r="I33" t="s">
        <v>46</v>
      </c>
      <c r="K33" s="30">
        <v>3.0000000000000001E-3</v>
      </c>
    </row>
    <row r="34" spans="2:11" x14ac:dyDescent="0.25">
      <c r="B34" s="29" t="s">
        <v>87</v>
      </c>
      <c r="C34" s="29"/>
      <c r="D34" s="29"/>
      <c r="E34" s="29"/>
      <c r="F34" s="29"/>
      <c r="G34" s="29"/>
      <c r="I34" t="s">
        <v>50</v>
      </c>
      <c r="K34" s="30">
        <v>-1.1000000000000001E-3</v>
      </c>
    </row>
    <row r="35" spans="2:11" x14ac:dyDescent="0.25">
      <c r="B35" s="29" t="s">
        <v>99</v>
      </c>
      <c r="C35" s="29"/>
      <c r="D35" s="29"/>
      <c r="E35" s="29"/>
      <c r="F35" s="29"/>
      <c r="G35" s="29"/>
    </row>
    <row r="36" spans="2:11" x14ac:dyDescent="0.25">
      <c r="B36" s="29" t="s">
        <v>88</v>
      </c>
      <c r="C36" s="29"/>
      <c r="D36" s="29"/>
      <c r="E36" s="29"/>
      <c r="F36" s="29"/>
      <c r="G36" s="29"/>
    </row>
    <row r="37" spans="2:11" x14ac:dyDescent="0.25">
      <c r="B37" s="29" t="s">
        <v>100</v>
      </c>
      <c r="C37" s="29"/>
      <c r="D37" s="29"/>
      <c r="E37" s="29"/>
      <c r="F37" s="29"/>
      <c r="G37" s="29"/>
      <c r="I37" t="s">
        <v>67</v>
      </c>
    </row>
    <row r="38" spans="2:11" x14ac:dyDescent="0.25">
      <c r="B38" s="29"/>
      <c r="C38" s="29"/>
      <c r="D38" s="29"/>
      <c r="E38" s="29"/>
      <c r="F38" s="29"/>
      <c r="G38" s="29"/>
      <c r="I38" s="32" t="s">
        <v>40</v>
      </c>
      <c r="K38" s="30">
        <v>2.5000000000000001E-3</v>
      </c>
    </row>
    <row r="39" spans="2:11" x14ac:dyDescent="0.25">
      <c r="I39" s="32" t="s">
        <v>55</v>
      </c>
      <c r="K39" s="30">
        <v>0</v>
      </c>
    </row>
    <row r="40" spans="2:11" x14ac:dyDescent="0.25">
      <c r="I40" s="32" t="s">
        <v>55</v>
      </c>
      <c r="K40" s="30">
        <v>0</v>
      </c>
    </row>
  </sheetData>
  <mergeCells count="6">
    <mergeCell ref="B16:G16"/>
    <mergeCell ref="I4:K4"/>
    <mergeCell ref="B5:F5"/>
    <mergeCell ref="C6:E6"/>
    <mergeCell ref="B8:G10"/>
    <mergeCell ref="B12:G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32"/>
  <sheetViews>
    <sheetView tabSelected="1" zoomScaleNormal="100" workbookViewId="0">
      <selection activeCell="N21" sqref="N21"/>
    </sheetView>
  </sheetViews>
  <sheetFormatPr defaultRowHeight="15" x14ac:dyDescent="0.25"/>
  <cols>
    <col min="1" max="1" width="18.5703125" bestFit="1" customWidth="1"/>
    <col min="2" max="2" width="9" bestFit="1" customWidth="1"/>
    <col min="3" max="3" width="8.5703125" bestFit="1" customWidth="1"/>
    <col min="4" max="4" width="7.7109375" bestFit="1" customWidth="1"/>
    <col min="5" max="5" width="10.28515625" bestFit="1" customWidth="1"/>
    <col min="6" max="6" width="9.7109375" bestFit="1" customWidth="1"/>
    <col min="7" max="7" width="4.7109375" customWidth="1"/>
    <col min="8" max="8" width="3" customWidth="1"/>
    <col min="9" max="9" width="21.7109375" bestFit="1" customWidth="1"/>
    <col min="10" max="10" width="7.28515625" customWidth="1"/>
    <col min="11" max="11" width="19.28515625" style="15" customWidth="1"/>
    <col min="12" max="12" width="1.42578125" style="15" customWidth="1"/>
    <col min="13" max="13" width="32.140625" style="15" bestFit="1" customWidth="1"/>
  </cols>
  <sheetData>
    <row r="1" spans="1:20" x14ac:dyDescent="0.25">
      <c r="I1" s="33"/>
      <c r="J1" s="33"/>
      <c r="K1" s="35" t="s">
        <v>96</v>
      </c>
      <c r="L1" s="36"/>
      <c r="M1" s="35" t="s">
        <v>97</v>
      </c>
    </row>
    <row r="2" spans="1:20" ht="15.75" thickBot="1" x14ac:dyDescent="0.3">
      <c r="I2" s="33" t="s">
        <v>91</v>
      </c>
      <c r="J2" s="34">
        <v>15</v>
      </c>
      <c r="K2" s="38">
        <f>census/J2</f>
        <v>4.4666666666666668</v>
      </c>
      <c r="L2" s="36"/>
      <c r="M2" s="37">
        <f>DATA!N5/Hours</f>
        <v>4.5999999999999996</v>
      </c>
    </row>
    <row r="3" spans="1:20" x14ac:dyDescent="0.25">
      <c r="A3" s="8" t="s">
        <v>10</v>
      </c>
      <c r="B3" s="9">
        <v>67</v>
      </c>
      <c r="C3" s="6"/>
      <c r="D3" s="13" t="s">
        <v>5</v>
      </c>
      <c r="E3" s="59" t="s">
        <v>118</v>
      </c>
      <c r="F3" s="5">
        <f>census*Rate*Days+(CC_rate*CC_Hours)</f>
        <v>409169</v>
      </c>
      <c r="I3" s="33" t="s">
        <v>92</v>
      </c>
      <c r="J3" s="34">
        <v>30</v>
      </c>
      <c r="K3" s="38">
        <f>census/J3</f>
        <v>2.2333333333333334</v>
      </c>
      <c r="L3" s="36"/>
      <c r="M3" s="37">
        <f>DATA!N6/Hours</f>
        <v>0</v>
      </c>
    </row>
    <row r="4" spans="1:20" ht="15.75" thickBot="1" x14ac:dyDescent="0.3">
      <c r="A4" s="10" t="s">
        <v>18</v>
      </c>
      <c r="B4" s="11">
        <v>197</v>
      </c>
      <c r="C4" s="7"/>
      <c r="D4" s="14" t="s">
        <v>17</v>
      </c>
      <c r="E4" s="60"/>
      <c r="F4" s="39"/>
      <c r="I4" s="33" t="s">
        <v>93</v>
      </c>
      <c r="J4" s="34">
        <v>12</v>
      </c>
      <c r="K4" s="38">
        <f>census/J4</f>
        <v>5.583333333333333</v>
      </c>
      <c r="L4" s="36"/>
      <c r="M4" s="37">
        <f>DATA!N7/Hours</f>
        <v>3.0999999999999996</v>
      </c>
    </row>
    <row r="5" spans="1:20" x14ac:dyDescent="0.25">
      <c r="A5" s="10" t="s">
        <v>11</v>
      </c>
      <c r="B5" s="11">
        <v>31</v>
      </c>
      <c r="C5" s="45">
        <f>VLOOKUP(Days,DATA!C15:D21,2,FALSE)</f>
        <v>173</v>
      </c>
      <c r="E5" s="61"/>
      <c r="I5" s="33" t="s">
        <v>94</v>
      </c>
      <c r="J5" s="34">
        <v>35</v>
      </c>
      <c r="K5" s="38">
        <f>census/J5</f>
        <v>1.9142857142857144</v>
      </c>
      <c r="L5" s="36"/>
      <c r="M5" s="37">
        <f>DATA!N8/Hours</f>
        <v>0.5</v>
      </c>
    </row>
    <row r="6" spans="1:20" x14ac:dyDescent="0.25">
      <c r="A6" s="10" t="s">
        <v>12</v>
      </c>
      <c r="B6" s="49">
        <v>0.1925</v>
      </c>
      <c r="C6" s="7"/>
      <c r="E6" s="56"/>
      <c r="I6" s="33" t="s">
        <v>95</v>
      </c>
      <c r="J6" s="34">
        <v>50</v>
      </c>
      <c r="K6" s="38">
        <f>census/J6</f>
        <v>1.34</v>
      </c>
      <c r="L6" s="36"/>
      <c r="M6" s="37">
        <f>DATA!N9/Hours</f>
        <v>0.8</v>
      </c>
    </row>
    <row r="7" spans="1:20" x14ac:dyDescent="0.25">
      <c r="A7" s="10" t="s">
        <v>129</v>
      </c>
      <c r="B7" s="50">
        <v>50.16</v>
      </c>
      <c r="C7" s="7"/>
      <c r="E7" s="46"/>
      <c r="I7" s="33"/>
      <c r="J7" s="34"/>
      <c r="K7" s="38"/>
      <c r="L7" s="36"/>
      <c r="M7" s="37"/>
    </row>
    <row r="8" spans="1:20" ht="15.75" thickBot="1" x14ac:dyDescent="0.3">
      <c r="A8" s="12" t="s">
        <v>130</v>
      </c>
      <c r="B8" s="51">
        <v>0</v>
      </c>
      <c r="C8" s="7"/>
      <c r="E8" s="46"/>
    </row>
    <row r="9" spans="1:20" x14ac:dyDescent="0.25">
      <c r="C9" s="7"/>
      <c r="E9" s="46"/>
      <c r="H9" s="33"/>
      <c r="I9" s="33"/>
      <c r="J9" s="33"/>
      <c r="K9" s="20" t="s">
        <v>102</v>
      </c>
      <c r="L9" s="21"/>
      <c r="M9" s="20" t="s">
        <v>98</v>
      </c>
    </row>
    <row r="10" spans="1:20" x14ac:dyDescent="0.25">
      <c r="A10" s="2"/>
      <c r="B10" s="2"/>
      <c r="C10" s="3" t="s">
        <v>2</v>
      </c>
      <c r="D10" s="3" t="s">
        <v>4</v>
      </c>
      <c r="E10" s="3" t="s">
        <v>15</v>
      </c>
      <c r="F10" s="2" t="s">
        <v>13</v>
      </c>
      <c r="H10" s="7" t="s">
        <v>53</v>
      </c>
      <c r="I10" s="7"/>
      <c r="K10" s="20" t="s">
        <v>58</v>
      </c>
      <c r="L10" s="21"/>
      <c r="M10" s="20" t="s">
        <v>68</v>
      </c>
    </row>
    <row r="11" spans="1:20" x14ac:dyDescent="0.25">
      <c r="A11" s="3" t="s">
        <v>0</v>
      </c>
      <c r="B11" s="3" t="s">
        <v>1</v>
      </c>
      <c r="C11" s="3" t="s">
        <v>3</v>
      </c>
      <c r="D11" s="3" t="s">
        <v>5</v>
      </c>
      <c r="E11" s="3" t="s">
        <v>16</v>
      </c>
      <c r="F11" s="3" t="s">
        <v>14</v>
      </c>
      <c r="H11" s="7" t="s">
        <v>19</v>
      </c>
      <c r="K11" s="22" t="s">
        <v>59</v>
      </c>
      <c r="L11" s="21"/>
      <c r="M11" s="22" t="s">
        <v>73</v>
      </c>
    </row>
    <row r="12" spans="1:20" x14ac:dyDescent="0.25">
      <c r="A12" s="4" t="s">
        <v>105</v>
      </c>
      <c r="B12" s="4" t="s">
        <v>9</v>
      </c>
      <c r="C12" s="43">
        <v>16</v>
      </c>
      <c r="D12" s="4">
        <v>138.4</v>
      </c>
      <c r="E12" s="4">
        <f t="shared" ref="E12:E17" si="0">50*4</f>
        <v>200</v>
      </c>
      <c r="F12" s="52">
        <f t="shared" ref="F12:F57" si="1">(1+Ben)*((C12*D12)+E12)</f>
        <v>2879.172</v>
      </c>
      <c r="I12" t="s">
        <v>20</v>
      </c>
      <c r="K12" s="24">
        <f>Instructions!K5</f>
        <v>0.14000000000000001</v>
      </c>
      <c r="L12" s="21"/>
      <c r="M12" s="24">
        <f>DATA!J5</f>
        <v>6.2477511737203936E-2</v>
      </c>
      <c r="O12" s="47" t="s">
        <v>119</v>
      </c>
      <c r="P12" s="47"/>
      <c r="Q12" s="47"/>
      <c r="R12" s="47"/>
      <c r="S12" s="47"/>
      <c r="T12" s="47"/>
    </row>
    <row r="13" spans="1:20" x14ac:dyDescent="0.25">
      <c r="A13" s="4" t="s">
        <v>106</v>
      </c>
      <c r="B13" s="4" t="s">
        <v>63</v>
      </c>
      <c r="C13" s="43">
        <v>31.5</v>
      </c>
      <c r="D13" s="4">
        <v>103.8</v>
      </c>
      <c r="E13" s="4">
        <f t="shared" si="0"/>
        <v>200</v>
      </c>
      <c r="F13" s="52">
        <f t="shared" si="1"/>
        <v>4137.6172499999993</v>
      </c>
      <c r="I13" t="s">
        <v>21</v>
      </c>
      <c r="K13" s="24">
        <f>Instructions!K6</f>
        <v>7.0000000000000007E-2</v>
      </c>
      <c r="L13" s="21"/>
      <c r="M13" s="24">
        <f>DATA!J6</f>
        <v>3.7135404013989327E-2</v>
      </c>
      <c r="O13" s="47" t="s">
        <v>120</v>
      </c>
      <c r="P13" s="47"/>
      <c r="Q13" s="47"/>
      <c r="R13" s="47"/>
      <c r="S13" s="47"/>
      <c r="T13" s="47"/>
    </row>
    <row r="14" spans="1:20" x14ac:dyDescent="0.25">
      <c r="A14" s="4" t="s">
        <v>107</v>
      </c>
      <c r="B14" s="4" t="s">
        <v>9</v>
      </c>
      <c r="C14" s="43">
        <v>17.5</v>
      </c>
      <c r="D14" s="4">
        <v>173</v>
      </c>
      <c r="E14" s="4">
        <f t="shared" si="0"/>
        <v>200</v>
      </c>
      <c r="F14" s="52">
        <f t="shared" si="1"/>
        <v>3848.7937499999998</v>
      </c>
      <c r="I14" t="s">
        <v>22</v>
      </c>
      <c r="K14" s="24">
        <f>Instructions!K7</f>
        <v>0.04</v>
      </c>
      <c r="L14" s="21"/>
      <c r="M14" s="24">
        <f>DATA!J7</f>
        <v>6.1290750276780494E-3</v>
      </c>
      <c r="O14" s="48" t="s">
        <v>121</v>
      </c>
      <c r="P14" s="48"/>
      <c r="Q14" s="48" t="s">
        <v>122</v>
      </c>
      <c r="R14" s="48"/>
      <c r="S14" s="48"/>
      <c r="T14" s="48"/>
    </row>
    <row r="15" spans="1:20" x14ac:dyDescent="0.25">
      <c r="A15" s="4" t="s">
        <v>108</v>
      </c>
      <c r="B15" s="4" t="s">
        <v>22</v>
      </c>
      <c r="C15" s="44">
        <v>22</v>
      </c>
      <c r="D15" s="4">
        <v>86.5</v>
      </c>
      <c r="E15" s="4">
        <f t="shared" si="0"/>
        <v>200</v>
      </c>
      <c r="F15" s="52">
        <f t="shared" si="1"/>
        <v>2507.8274999999999</v>
      </c>
      <c r="I15" t="s">
        <v>66</v>
      </c>
      <c r="K15" s="24">
        <f>Instructions!K8</f>
        <v>0.03</v>
      </c>
      <c r="L15" s="21"/>
      <c r="M15" s="24">
        <f>DATA!J8</f>
        <v>1.4991898213207743E-2</v>
      </c>
      <c r="O15" s="48" t="s">
        <v>123</v>
      </c>
      <c r="P15" s="48"/>
      <c r="Q15" s="48" t="s">
        <v>124</v>
      </c>
      <c r="R15" s="48"/>
      <c r="S15" s="48"/>
      <c r="T15" s="48"/>
    </row>
    <row r="16" spans="1:20" x14ac:dyDescent="0.25">
      <c r="A16" s="4" t="s">
        <v>109</v>
      </c>
      <c r="B16" s="4" t="s">
        <v>63</v>
      </c>
      <c r="C16" s="44">
        <v>20.5</v>
      </c>
      <c r="D16" s="4">
        <v>173</v>
      </c>
      <c r="E16" s="4">
        <f t="shared" si="0"/>
        <v>200</v>
      </c>
      <c r="F16" s="52">
        <f t="shared" si="1"/>
        <v>4467.7012499999992</v>
      </c>
      <c r="I16" t="s">
        <v>24</v>
      </c>
      <c r="K16" s="24">
        <f>Instructions!K9</f>
        <v>0</v>
      </c>
      <c r="M16" s="24">
        <f>DATA!J9</f>
        <v>0</v>
      </c>
      <c r="O16" s="48" t="s">
        <v>125</v>
      </c>
      <c r="P16" s="48"/>
      <c r="Q16" s="48" t="s">
        <v>126</v>
      </c>
      <c r="R16" s="48"/>
      <c r="S16" s="48"/>
      <c r="T16" s="48"/>
    </row>
    <row r="17" spans="1:20" x14ac:dyDescent="0.25">
      <c r="A17" s="4" t="s">
        <v>110</v>
      </c>
      <c r="B17" s="4" t="s">
        <v>9</v>
      </c>
      <c r="C17" s="44">
        <v>33</v>
      </c>
      <c r="D17" s="4">
        <v>138.4</v>
      </c>
      <c r="E17" s="4">
        <f t="shared" si="0"/>
        <v>200</v>
      </c>
      <c r="F17" s="52">
        <f t="shared" si="1"/>
        <v>5684.8859999999995</v>
      </c>
      <c r="I17" t="s">
        <v>25</v>
      </c>
      <c r="K17" s="24">
        <f>Instructions!K10</f>
        <v>0</v>
      </c>
      <c r="M17" s="24">
        <f>DATA!J10</f>
        <v>8.9415131644870454E-3</v>
      </c>
      <c r="O17" s="48" t="s">
        <v>127</v>
      </c>
      <c r="P17" s="48"/>
      <c r="Q17" s="48" t="s">
        <v>128</v>
      </c>
      <c r="R17" s="48"/>
      <c r="S17" s="48"/>
      <c r="T17" s="48"/>
    </row>
    <row r="18" spans="1:20" x14ac:dyDescent="0.25">
      <c r="A18" s="4" t="s">
        <v>111</v>
      </c>
      <c r="B18" s="4" t="s">
        <v>25</v>
      </c>
      <c r="C18" s="43">
        <v>16</v>
      </c>
      <c r="D18" s="4">
        <v>173</v>
      </c>
      <c r="E18" s="4">
        <f>75*4</f>
        <v>300</v>
      </c>
      <c r="F18" s="52">
        <f t="shared" si="1"/>
        <v>3658.5899999999997</v>
      </c>
      <c r="I18" t="s">
        <v>26</v>
      </c>
      <c r="K18" s="24">
        <f>Instructions!K11</f>
        <v>0</v>
      </c>
      <c r="L18" s="21"/>
      <c r="M18" s="24">
        <f>DATA!J11</f>
        <v>0</v>
      </c>
    </row>
    <row r="19" spans="1:20" x14ac:dyDescent="0.25">
      <c r="A19" s="4" t="s">
        <v>112</v>
      </c>
      <c r="B19" s="4" t="s">
        <v>57</v>
      </c>
      <c r="C19" s="43">
        <v>35</v>
      </c>
      <c r="D19" s="4">
        <v>138.4</v>
      </c>
      <c r="E19" s="4">
        <f>75*4</f>
        <v>300</v>
      </c>
      <c r="F19" s="52">
        <f t="shared" si="1"/>
        <v>6134.2199999999993</v>
      </c>
      <c r="I19" t="s">
        <v>27</v>
      </c>
      <c r="K19" s="24">
        <f>Instructions!K12</f>
        <v>0</v>
      </c>
      <c r="M19" s="24">
        <f>DATA!J12</f>
        <v>0</v>
      </c>
    </row>
    <row r="20" spans="1:20" x14ac:dyDescent="0.25">
      <c r="A20" s="4" t="s">
        <v>113</v>
      </c>
      <c r="B20" s="4" t="s">
        <v>9</v>
      </c>
      <c r="C20" s="43">
        <v>23.5</v>
      </c>
      <c r="D20" s="4">
        <v>86.5</v>
      </c>
      <c r="E20" s="4">
        <f>75*4</f>
        <v>300</v>
      </c>
      <c r="F20" s="52">
        <f t="shared" si="1"/>
        <v>2781.8043749999997</v>
      </c>
      <c r="I20" t="s">
        <v>28</v>
      </c>
      <c r="K20" s="24">
        <f>Instructions!K13</f>
        <v>0</v>
      </c>
      <c r="M20" s="24">
        <f>DATA!J13</f>
        <v>6.420519394186754E-3</v>
      </c>
    </row>
    <row r="21" spans="1:20" x14ac:dyDescent="0.25">
      <c r="A21" s="4" t="s">
        <v>114</v>
      </c>
      <c r="B21" s="4" t="s">
        <v>63</v>
      </c>
      <c r="C21" s="4">
        <v>15</v>
      </c>
      <c r="D21" s="4">
        <v>173</v>
      </c>
      <c r="E21" s="4">
        <v>300</v>
      </c>
      <c r="F21" s="52">
        <f t="shared" si="1"/>
        <v>3452.2874999999999</v>
      </c>
      <c r="I21" t="s">
        <v>90</v>
      </c>
      <c r="K21" s="25">
        <f>Instructions!K14</f>
        <v>0</v>
      </c>
      <c r="M21" s="25">
        <f>DATA!J14</f>
        <v>0</v>
      </c>
    </row>
    <row r="22" spans="1:20" x14ac:dyDescent="0.25">
      <c r="A22" s="4" t="s">
        <v>115</v>
      </c>
      <c r="B22" s="4" t="s">
        <v>63</v>
      </c>
      <c r="C22" s="4">
        <v>30</v>
      </c>
      <c r="D22" s="4">
        <v>173</v>
      </c>
      <c r="E22" s="4">
        <v>300</v>
      </c>
      <c r="F22" s="52">
        <f t="shared" si="1"/>
        <v>6546.8249999999998</v>
      </c>
      <c r="K22" s="24">
        <f>SUM(K12:K21)</f>
        <v>0.28000000000000003</v>
      </c>
      <c r="M22" s="24">
        <f>SUM(M12:M20)</f>
        <v>0.13609592155075287</v>
      </c>
    </row>
    <row r="23" spans="1:20" x14ac:dyDescent="0.25">
      <c r="A23" s="4" t="s">
        <v>116</v>
      </c>
      <c r="B23" s="4" t="s">
        <v>63</v>
      </c>
      <c r="C23" s="4">
        <v>32</v>
      </c>
      <c r="D23" s="4">
        <v>173</v>
      </c>
      <c r="E23" s="4">
        <v>300</v>
      </c>
      <c r="F23" s="52">
        <f t="shared" si="1"/>
        <v>6959.4299999999994</v>
      </c>
      <c r="K23" s="26"/>
    </row>
    <row r="24" spans="1:20" x14ac:dyDescent="0.25">
      <c r="A24" s="4"/>
      <c r="B24" s="4"/>
      <c r="C24" s="4"/>
      <c r="D24" s="4"/>
      <c r="E24" s="4"/>
      <c r="F24" s="52">
        <f t="shared" si="1"/>
        <v>0</v>
      </c>
      <c r="H24" s="7" t="s">
        <v>52</v>
      </c>
      <c r="K24" s="24"/>
      <c r="M24" s="20" t="s">
        <v>101</v>
      </c>
    </row>
    <row r="25" spans="1:20" x14ac:dyDescent="0.25">
      <c r="A25" s="4" t="s">
        <v>117</v>
      </c>
      <c r="B25" s="4" t="s">
        <v>28</v>
      </c>
      <c r="C25" s="4">
        <v>22</v>
      </c>
      <c r="D25" s="4">
        <v>86.5</v>
      </c>
      <c r="E25" s="4">
        <v>300</v>
      </c>
      <c r="F25" s="52">
        <f t="shared" si="1"/>
        <v>2627.0774999999999</v>
      </c>
      <c r="I25" t="s">
        <v>29</v>
      </c>
      <c r="K25" s="24">
        <f>Instructions!K15</f>
        <v>1.8E-3</v>
      </c>
      <c r="M25" s="17">
        <v>1E-3</v>
      </c>
    </row>
    <row r="26" spans="1:20" x14ac:dyDescent="0.25">
      <c r="A26" s="4"/>
      <c r="B26" s="4"/>
      <c r="C26" s="4"/>
      <c r="D26" s="4"/>
      <c r="E26" s="4"/>
      <c r="F26" s="52">
        <f t="shared" si="1"/>
        <v>0</v>
      </c>
      <c r="I26" t="s">
        <v>30</v>
      </c>
      <c r="K26" s="24">
        <f>Instructions!K16</f>
        <v>0</v>
      </c>
      <c r="M26" s="17"/>
    </row>
    <row r="27" spans="1:20" x14ac:dyDescent="0.25">
      <c r="A27" s="4"/>
      <c r="B27" s="4"/>
      <c r="C27" s="4"/>
      <c r="D27" s="4"/>
      <c r="E27" s="4"/>
      <c r="F27" s="52">
        <f t="shared" si="1"/>
        <v>0</v>
      </c>
      <c r="I27" t="s">
        <v>31</v>
      </c>
      <c r="K27" s="24">
        <f>Instructions!K17</f>
        <v>0</v>
      </c>
      <c r="M27" s="17"/>
    </row>
    <row r="28" spans="1:20" x14ac:dyDescent="0.25">
      <c r="A28" s="4"/>
      <c r="B28" s="4"/>
      <c r="C28" s="4"/>
      <c r="D28" s="4"/>
      <c r="E28" s="4"/>
      <c r="F28" s="52">
        <f t="shared" si="1"/>
        <v>0</v>
      </c>
      <c r="I28" t="s">
        <v>32</v>
      </c>
      <c r="K28" s="24">
        <f>Instructions!K18</f>
        <v>2.9999999999999997E-4</v>
      </c>
      <c r="M28" s="17"/>
    </row>
    <row r="29" spans="1:20" x14ac:dyDescent="0.25">
      <c r="A29" s="4"/>
      <c r="B29" s="4"/>
      <c r="C29" s="4"/>
      <c r="D29" s="4"/>
      <c r="E29" s="4"/>
      <c r="F29" s="52">
        <f t="shared" si="1"/>
        <v>0</v>
      </c>
      <c r="I29" t="s">
        <v>33</v>
      </c>
      <c r="K29" s="24">
        <f>Instructions!K19</f>
        <v>4.1700000000000001E-2</v>
      </c>
      <c r="M29" s="17">
        <v>3.6999999999999998E-2</v>
      </c>
    </row>
    <row r="30" spans="1:20" x14ac:dyDescent="0.25">
      <c r="A30" s="4"/>
      <c r="B30" s="4"/>
      <c r="C30" s="4"/>
      <c r="D30" s="4"/>
      <c r="E30" s="4"/>
      <c r="F30" s="52">
        <f t="shared" si="1"/>
        <v>0</v>
      </c>
      <c r="I30" t="s">
        <v>34</v>
      </c>
      <c r="K30" s="24">
        <f>Instructions!K20</f>
        <v>2.0000000000000001E-4</v>
      </c>
      <c r="M30" s="17"/>
    </row>
    <row r="31" spans="1:20" x14ac:dyDescent="0.25">
      <c r="A31" s="4"/>
      <c r="B31" s="4"/>
      <c r="C31" s="4"/>
      <c r="D31" s="4"/>
      <c r="E31" s="4"/>
      <c r="F31" s="52">
        <f t="shared" si="1"/>
        <v>0</v>
      </c>
      <c r="I31" t="s">
        <v>35</v>
      </c>
      <c r="K31" s="24">
        <f>Instructions!K21</f>
        <v>1.1000000000000001E-3</v>
      </c>
      <c r="M31" s="17">
        <v>1E-3</v>
      </c>
    </row>
    <row r="32" spans="1:20" x14ac:dyDescent="0.25">
      <c r="A32" s="4"/>
      <c r="B32" s="4"/>
      <c r="C32" s="4"/>
      <c r="D32" s="4"/>
      <c r="E32" s="4"/>
      <c r="F32" s="52">
        <f t="shared" si="1"/>
        <v>0</v>
      </c>
      <c r="I32" t="s">
        <v>36</v>
      </c>
      <c r="K32" s="24">
        <f>Instructions!K22</f>
        <v>6.9999999999999999E-4</v>
      </c>
      <c r="M32" s="17"/>
    </row>
    <row r="33" spans="1:13" x14ac:dyDescent="0.25">
      <c r="A33" s="4"/>
      <c r="B33" s="4"/>
      <c r="C33" s="4"/>
      <c r="D33" s="4"/>
      <c r="E33" s="4"/>
      <c r="F33" s="52">
        <f t="shared" si="1"/>
        <v>0</v>
      </c>
      <c r="I33" t="s">
        <v>37</v>
      </c>
      <c r="K33" s="24">
        <f>Instructions!K23</f>
        <v>1.1000000000000001E-3</v>
      </c>
      <c r="M33" s="17">
        <v>4.0000000000000001E-3</v>
      </c>
    </row>
    <row r="34" spans="1:13" x14ac:dyDescent="0.25">
      <c r="A34" s="4"/>
      <c r="B34" s="4"/>
      <c r="C34" s="4"/>
      <c r="D34" s="4"/>
      <c r="E34" s="4"/>
      <c r="F34" s="52">
        <f t="shared" si="1"/>
        <v>0</v>
      </c>
      <c r="I34" t="s">
        <v>38</v>
      </c>
      <c r="K34" s="24">
        <f>Instructions!K24</f>
        <v>0</v>
      </c>
      <c r="M34" s="17"/>
    </row>
    <row r="35" spans="1:13" x14ac:dyDescent="0.25">
      <c r="A35" s="4"/>
      <c r="B35" s="4"/>
      <c r="C35" s="4"/>
      <c r="D35" s="4"/>
      <c r="E35" s="4"/>
      <c r="F35" s="52">
        <f t="shared" si="1"/>
        <v>0</v>
      </c>
      <c r="I35" t="s">
        <v>39</v>
      </c>
      <c r="K35" s="24">
        <f>Instructions!K25</f>
        <v>2.52E-2</v>
      </c>
      <c r="M35" s="17">
        <v>2.5999999999999999E-2</v>
      </c>
    </row>
    <row r="36" spans="1:13" x14ac:dyDescent="0.25">
      <c r="A36" s="4"/>
      <c r="B36" s="4"/>
      <c r="C36" s="4"/>
      <c r="D36" s="4"/>
      <c r="E36" s="4"/>
      <c r="F36" s="52">
        <f t="shared" si="1"/>
        <v>0</v>
      </c>
      <c r="I36" t="s">
        <v>40</v>
      </c>
      <c r="K36" s="24">
        <f>Instructions!K26</f>
        <v>1.9599999999999999E-2</v>
      </c>
      <c r="M36" s="17">
        <v>1.2999999999999999E-2</v>
      </c>
    </row>
    <row r="37" spans="1:13" x14ac:dyDescent="0.25">
      <c r="A37" s="4"/>
      <c r="B37" s="4"/>
      <c r="C37" s="4"/>
      <c r="D37" s="4"/>
      <c r="E37" s="4"/>
      <c r="F37" s="52">
        <f t="shared" si="1"/>
        <v>0</v>
      </c>
      <c r="I37" t="s">
        <v>41</v>
      </c>
      <c r="K37" s="24">
        <f>Instructions!K27</f>
        <v>3.0999999999999999E-3</v>
      </c>
      <c r="M37" s="17">
        <v>1E-3</v>
      </c>
    </row>
    <row r="38" spans="1:13" x14ac:dyDescent="0.25">
      <c r="A38" s="4"/>
      <c r="B38" s="4"/>
      <c r="C38" s="4"/>
      <c r="D38" s="4"/>
      <c r="E38" s="4"/>
      <c r="F38" s="52">
        <f t="shared" si="1"/>
        <v>0</v>
      </c>
      <c r="I38" t="s">
        <v>6</v>
      </c>
      <c r="K38" s="24">
        <f>Instructions!K28</f>
        <v>1E-4</v>
      </c>
      <c r="M38" s="17"/>
    </row>
    <row r="39" spans="1:13" x14ac:dyDescent="0.25">
      <c r="A39" s="4"/>
      <c r="B39" s="4"/>
      <c r="C39" s="4"/>
      <c r="D39" s="4"/>
      <c r="E39" s="4"/>
      <c r="F39" s="52">
        <f t="shared" si="1"/>
        <v>0</v>
      </c>
      <c r="I39" t="s">
        <v>42</v>
      </c>
      <c r="K39" s="24">
        <f>Instructions!K29</f>
        <v>5.9999999999999995E-4</v>
      </c>
      <c r="M39" s="17"/>
    </row>
    <row r="40" spans="1:13" x14ac:dyDescent="0.25">
      <c r="A40" s="4"/>
      <c r="B40" s="4"/>
      <c r="C40" s="4"/>
      <c r="D40" s="4"/>
      <c r="E40" s="4"/>
      <c r="F40" s="52">
        <f t="shared" si="1"/>
        <v>0</v>
      </c>
      <c r="I40" t="s">
        <v>43</v>
      </c>
      <c r="K40" s="24">
        <f>Instructions!K30</f>
        <v>0</v>
      </c>
      <c r="M40" s="17"/>
    </row>
    <row r="41" spans="1:13" x14ac:dyDescent="0.25">
      <c r="A41" s="4"/>
      <c r="B41" s="4"/>
      <c r="C41" s="4"/>
      <c r="D41" s="4"/>
      <c r="E41" s="4"/>
      <c r="F41" s="52">
        <f t="shared" si="1"/>
        <v>0</v>
      </c>
      <c r="I41" t="s">
        <v>44</v>
      </c>
      <c r="K41" s="24">
        <f>Instructions!K31</f>
        <v>0</v>
      </c>
      <c r="M41" s="17">
        <v>0</v>
      </c>
    </row>
    <row r="42" spans="1:13" x14ac:dyDescent="0.25">
      <c r="A42" s="4"/>
      <c r="B42" s="4"/>
      <c r="C42" s="4"/>
      <c r="D42" s="4"/>
      <c r="E42" s="4"/>
      <c r="F42" s="52">
        <f t="shared" si="1"/>
        <v>0</v>
      </c>
      <c r="I42" t="s">
        <v>45</v>
      </c>
      <c r="K42" s="24">
        <f>Instructions!K32</f>
        <v>3.2199999999999999E-2</v>
      </c>
      <c r="M42" s="17">
        <v>3.9E-2</v>
      </c>
    </row>
    <row r="43" spans="1:13" x14ac:dyDescent="0.25">
      <c r="A43" s="4"/>
      <c r="B43" s="4"/>
      <c r="C43" s="4"/>
      <c r="D43" s="4"/>
      <c r="E43" s="4"/>
      <c r="F43" s="52">
        <f t="shared" si="1"/>
        <v>0</v>
      </c>
      <c r="I43" t="s">
        <v>46</v>
      </c>
      <c r="K43" s="24">
        <f>Instructions!K33</f>
        <v>3.0000000000000001E-3</v>
      </c>
      <c r="M43" s="17">
        <v>1E-3</v>
      </c>
    </row>
    <row r="44" spans="1:13" x14ac:dyDescent="0.25">
      <c r="A44" s="4"/>
      <c r="B44" s="4"/>
      <c r="C44" s="4"/>
      <c r="D44" s="4"/>
      <c r="E44" s="4"/>
      <c r="F44" s="52">
        <f t="shared" si="1"/>
        <v>0</v>
      </c>
      <c r="I44" t="s">
        <v>50</v>
      </c>
      <c r="K44" s="25">
        <f>Instructions!K34</f>
        <v>-1.1000000000000001E-3</v>
      </c>
      <c r="M44" s="17">
        <v>1E-3</v>
      </c>
    </row>
    <row r="45" spans="1:13" x14ac:dyDescent="0.25">
      <c r="A45" s="4"/>
      <c r="B45" s="4"/>
      <c r="C45" s="4"/>
      <c r="D45" s="4"/>
      <c r="E45" s="4"/>
      <c r="F45" s="52">
        <f t="shared" si="1"/>
        <v>0</v>
      </c>
      <c r="K45" s="24">
        <f>SUM(K25:K44)</f>
        <v>0.12960000000000002</v>
      </c>
      <c r="M45" s="16">
        <f>SUM(M25:M44)</f>
        <v>0.124</v>
      </c>
    </row>
    <row r="46" spans="1:13" x14ac:dyDescent="0.25">
      <c r="A46" s="4"/>
      <c r="B46" s="4"/>
      <c r="C46" s="4"/>
      <c r="D46" s="4"/>
      <c r="E46" s="4"/>
      <c r="F46" s="52">
        <f t="shared" si="1"/>
        <v>0</v>
      </c>
      <c r="K46" s="26"/>
    </row>
    <row r="47" spans="1:13" x14ac:dyDescent="0.25">
      <c r="A47" s="4"/>
      <c r="B47" s="4"/>
      <c r="C47" s="4"/>
      <c r="D47" s="4"/>
      <c r="E47" s="4"/>
      <c r="F47" s="52">
        <f t="shared" si="1"/>
        <v>0</v>
      </c>
      <c r="H47" s="7" t="s">
        <v>54</v>
      </c>
      <c r="K47" s="24">
        <f>K22+K45</f>
        <v>0.40960000000000008</v>
      </c>
      <c r="M47" s="16">
        <f>M22+M45</f>
        <v>0.2600959215507529</v>
      </c>
    </row>
    <row r="48" spans="1:13" x14ac:dyDescent="0.25">
      <c r="A48" s="4"/>
      <c r="B48" s="4"/>
      <c r="C48" s="4"/>
      <c r="D48" s="4"/>
      <c r="E48" s="4"/>
      <c r="F48" s="52">
        <f t="shared" si="1"/>
        <v>0</v>
      </c>
      <c r="K48" s="26"/>
    </row>
    <row r="49" spans="1:13" x14ac:dyDescent="0.25">
      <c r="A49" s="4"/>
      <c r="B49" s="4"/>
      <c r="C49" s="4"/>
      <c r="D49" s="4"/>
      <c r="E49" s="4"/>
      <c r="F49" s="52">
        <f t="shared" si="1"/>
        <v>0</v>
      </c>
      <c r="H49" s="7" t="s">
        <v>61</v>
      </c>
      <c r="K49" s="24"/>
      <c r="M49" s="16"/>
    </row>
    <row r="50" spans="1:13" x14ac:dyDescent="0.25">
      <c r="A50" s="4"/>
      <c r="B50" s="4"/>
      <c r="C50" s="4"/>
      <c r="D50" s="4"/>
      <c r="E50" s="4"/>
      <c r="F50" s="52">
        <f t="shared" si="1"/>
        <v>0</v>
      </c>
      <c r="I50" t="str">
        <f>Instructions!I38</f>
        <v>Mileage</v>
      </c>
      <c r="K50" s="24">
        <f>Instructions!K38</f>
        <v>2.5000000000000001E-3</v>
      </c>
      <c r="M50" s="17">
        <v>3.0000000000000001E-3</v>
      </c>
    </row>
    <row r="51" spans="1:13" x14ac:dyDescent="0.25">
      <c r="A51" s="4"/>
      <c r="B51" s="4"/>
      <c r="C51" s="4"/>
      <c r="D51" s="4"/>
      <c r="E51" s="4"/>
      <c r="F51" s="52">
        <f t="shared" si="1"/>
        <v>0</v>
      </c>
      <c r="I51" t="str">
        <f>Instructions!I39</f>
        <v>x</v>
      </c>
      <c r="K51" s="24">
        <f>Instructions!K39</f>
        <v>0</v>
      </c>
      <c r="M51" s="17"/>
    </row>
    <row r="52" spans="1:13" x14ac:dyDescent="0.25">
      <c r="A52" s="4"/>
      <c r="B52" s="4"/>
      <c r="C52" s="4"/>
      <c r="D52" s="4"/>
      <c r="E52" s="4"/>
      <c r="F52" s="52">
        <f t="shared" si="1"/>
        <v>0</v>
      </c>
      <c r="I52" t="str">
        <f>Instructions!I40</f>
        <v>x</v>
      </c>
      <c r="K52" s="25">
        <f>Instructions!K40</f>
        <v>0</v>
      </c>
      <c r="M52" s="17"/>
    </row>
    <row r="53" spans="1:13" x14ac:dyDescent="0.25">
      <c r="A53" s="4"/>
      <c r="B53" s="4"/>
      <c r="C53" s="4"/>
      <c r="D53" s="4"/>
      <c r="E53" s="4"/>
      <c r="F53" s="52">
        <f t="shared" si="1"/>
        <v>0</v>
      </c>
      <c r="H53" s="7" t="s">
        <v>56</v>
      </c>
      <c r="K53" s="24">
        <f>SUM(K50:K52)</f>
        <v>2.5000000000000001E-3</v>
      </c>
      <c r="M53" s="16">
        <f>SUM(M50:M52)</f>
        <v>3.0000000000000001E-3</v>
      </c>
    </row>
    <row r="54" spans="1:13" x14ac:dyDescent="0.25">
      <c r="A54" s="4"/>
      <c r="B54" s="4"/>
      <c r="C54" s="4"/>
      <c r="D54" s="4"/>
      <c r="E54" s="4"/>
      <c r="F54" s="52">
        <f t="shared" si="1"/>
        <v>0</v>
      </c>
      <c r="K54" s="26"/>
    </row>
    <row r="55" spans="1:13" x14ac:dyDescent="0.25">
      <c r="A55" s="4"/>
      <c r="B55" s="4"/>
      <c r="C55" s="4"/>
      <c r="D55" s="4"/>
      <c r="E55" s="4"/>
      <c r="F55" s="52">
        <f t="shared" si="1"/>
        <v>0</v>
      </c>
      <c r="H55" s="7" t="s">
        <v>62</v>
      </c>
      <c r="K55" s="25">
        <f>K47+K53</f>
        <v>0.41210000000000008</v>
      </c>
      <c r="M55" s="19">
        <f>M47+M53</f>
        <v>0.2630959215507529</v>
      </c>
    </row>
    <row r="56" spans="1:13" x14ac:dyDescent="0.25">
      <c r="A56" s="4"/>
      <c r="B56" s="4"/>
      <c r="C56" s="4"/>
      <c r="D56" s="4"/>
      <c r="E56" s="4"/>
      <c r="F56" s="52">
        <f t="shared" si="1"/>
        <v>0</v>
      </c>
      <c r="K56" s="26"/>
    </row>
    <row r="57" spans="1:13" x14ac:dyDescent="0.25">
      <c r="A57" s="4"/>
      <c r="B57" s="4"/>
      <c r="C57" s="4"/>
      <c r="D57" s="4"/>
      <c r="E57" s="4"/>
      <c r="F57" s="52">
        <f t="shared" si="1"/>
        <v>0</v>
      </c>
      <c r="H57" s="7" t="s">
        <v>51</v>
      </c>
      <c r="K57" s="27">
        <f>1-K55</f>
        <v>0.58789999999999987</v>
      </c>
      <c r="M57" s="23">
        <f>1-M55</f>
        <v>0.7369040784492471</v>
      </c>
    </row>
    <row r="58" spans="1:13" x14ac:dyDescent="0.25">
      <c r="A58" s="1"/>
      <c r="B58" s="1"/>
      <c r="C58" s="1"/>
      <c r="D58" s="1"/>
      <c r="E58" s="1"/>
    </row>
    <row r="59" spans="1:13" x14ac:dyDescent="0.25">
      <c r="A59" s="1"/>
      <c r="B59" s="1"/>
      <c r="C59" s="1"/>
      <c r="D59" s="1"/>
      <c r="E59" s="1"/>
    </row>
    <row r="60" spans="1:13" x14ac:dyDescent="0.25">
      <c r="A60" s="1"/>
      <c r="B60" s="1"/>
      <c r="C60" s="1"/>
      <c r="D60" s="1"/>
      <c r="E60" s="1"/>
    </row>
    <row r="61" spans="1:13" x14ac:dyDescent="0.25">
      <c r="A61" s="1"/>
      <c r="B61" s="1"/>
      <c r="C61" s="1"/>
      <c r="D61" s="1"/>
      <c r="E61" s="1"/>
    </row>
    <row r="62" spans="1:13" x14ac:dyDescent="0.25">
      <c r="A62" s="1"/>
      <c r="B62" s="1"/>
      <c r="C62" s="1"/>
      <c r="D62" s="1"/>
      <c r="E62" s="1"/>
    </row>
    <row r="63" spans="1:13" x14ac:dyDescent="0.25">
      <c r="A63" s="1"/>
      <c r="B63" s="1"/>
      <c r="C63" s="1"/>
      <c r="D63" s="1"/>
      <c r="E63" s="1"/>
    </row>
    <row r="64" spans="1:13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  <row r="85" spans="1:5" x14ac:dyDescent="0.25">
      <c r="A85" s="1"/>
      <c r="B85" s="1"/>
      <c r="C85" s="1"/>
      <c r="D85" s="1"/>
      <c r="E85" s="1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  <row r="89" spans="1:5" x14ac:dyDescent="0.25">
      <c r="A89" s="1"/>
      <c r="B89" s="1"/>
      <c r="C89" s="1"/>
      <c r="D89" s="1"/>
      <c r="E89" s="1"/>
    </row>
    <row r="90" spans="1:5" x14ac:dyDescent="0.25">
      <c r="A90" s="1"/>
      <c r="B90" s="1"/>
      <c r="C90" s="1"/>
      <c r="D90" s="1"/>
      <c r="E90" s="1"/>
    </row>
    <row r="91" spans="1:5" x14ac:dyDescent="0.25">
      <c r="A91" s="1"/>
      <c r="B91" s="1"/>
      <c r="C91" s="1"/>
      <c r="D91" s="1"/>
      <c r="E91" s="1"/>
    </row>
    <row r="92" spans="1:5" x14ac:dyDescent="0.25">
      <c r="A92" s="1"/>
      <c r="B92" s="1"/>
      <c r="C92" s="1"/>
      <c r="D92" s="1"/>
      <c r="E92" s="1"/>
    </row>
    <row r="93" spans="1:5" x14ac:dyDescent="0.25">
      <c r="A93" s="1"/>
      <c r="B93" s="1"/>
      <c r="C93" s="1"/>
      <c r="D93" s="1"/>
      <c r="E93" s="1"/>
    </row>
    <row r="94" spans="1:5" x14ac:dyDescent="0.25">
      <c r="A94" s="1"/>
      <c r="B94" s="1"/>
      <c r="C94" s="1"/>
      <c r="D94" s="1"/>
      <c r="E94" s="1"/>
    </row>
    <row r="95" spans="1:5" x14ac:dyDescent="0.25">
      <c r="A95" s="1"/>
      <c r="B95" s="1"/>
      <c r="C95" s="1"/>
      <c r="D95" s="1"/>
      <c r="E95" s="1"/>
    </row>
    <row r="96" spans="1:5" x14ac:dyDescent="0.25">
      <c r="A96" s="1"/>
      <c r="B96" s="1"/>
      <c r="C96" s="1"/>
      <c r="D96" s="1"/>
      <c r="E96" s="1"/>
    </row>
    <row r="97" spans="1:5" x14ac:dyDescent="0.25">
      <c r="A97" s="1"/>
      <c r="B97" s="1"/>
      <c r="C97" s="1"/>
      <c r="D97" s="1"/>
      <c r="E97" s="1"/>
    </row>
    <row r="98" spans="1:5" x14ac:dyDescent="0.25">
      <c r="A98" s="1"/>
      <c r="B98" s="1"/>
      <c r="C98" s="1"/>
      <c r="D98" s="1"/>
      <c r="E98" s="1"/>
    </row>
    <row r="99" spans="1:5" x14ac:dyDescent="0.25">
      <c r="A99" s="1"/>
      <c r="B99" s="1"/>
      <c r="C99" s="1"/>
      <c r="D99" s="1"/>
      <c r="E99" s="1"/>
    </row>
    <row r="100" spans="1:5" x14ac:dyDescent="0.25">
      <c r="A100" s="1"/>
      <c r="B100" s="1"/>
      <c r="C100" s="1"/>
      <c r="D100" s="1"/>
      <c r="E100" s="1"/>
    </row>
    <row r="101" spans="1:5" x14ac:dyDescent="0.25">
      <c r="A101" s="1"/>
      <c r="B101" s="1"/>
      <c r="C101" s="1"/>
      <c r="D101" s="1"/>
      <c r="E101" s="1"/>
    </row>
    <row r="102" spans="1:5" x14ac:dyDescent="0.25">
      <c r="A102" s="1"/>
      <c r="B102" s="1"/>
      <c r="C102" s="1"/>
      <c r="D102" s="1"/>
      <c r="E102" s="1"/>
    </row>
    <row r="103" spans="1:5" x14ac:dyDescent="0.25">
      <c r="A103" s="1"/>
      <c r="B103" s="1"/>
      <c r="C103" s="1"/>
      <c r="D103" s="1"/>
      <c r="E103" s="1"/>
    </row>
    <row r="104" spans="1:5" x14ac:dyDescent="0.25">
      <c r="A104" s="1"/>
      <c r="B104" s="1"/>
      <c r="C104" s="1"/>
      <c r="D104" s="1"/>
      <c r="E104" s="1"/>
    </row>
    <row r="105" spans="1:5" x14ac:dyDescent="0.25">
      <c r="A105" s="1"/>
      <c r="B105" s="1"/>
      <c r="C105" s="1"/>
      <c r="D105" s="1"/>
      <c r="E105" s="1"/>
    </row>
    <row r="106" spans="1:5" x14ac:dyDescent="0.25">
      <c r="A106" s="1"/>
      <c r="B106" s="1"/>
      <c r="C106" s="1"/>
      <c r="D106" s="1"/>
      <c r="E106" s="1"/>
    </row>
    <row r="107" spans="1:5" x14ac:dyDescent="0.25">
      <c r="A107" s="1"/>
      <c r="B107" s="1"/>
      <c r="C107" s="1"/>
      <c r="D107" s="1"/>
      <c r="E107" s="1"/>
    </row>
    <row r="108" spans="1:5" x14ac:dyDescent="0.25">
      <c r="A108" s="1"/>
      <c r="B108" s="1"/>
      <c r="C108" s="1"/>
      <c r="D108" s="1"/>
      <c r="E108" s="1"/>
    </row>
    <row r="109" spans="1:5" x14ac:dyDescent="0.25">
      <c r="A109" s="1"/>
      <c r="B109" s="1"/>
      <c r="C109" s="1"/>
      <c r="D109" s="1"/>
      <c r="E109" s="1"/>
    </row>
    <row r="110" spans="1:5" x14ac:dyDescent="0.25">
      <c r="A110" s="1"/>
      <c r="B110" s="1"/>
      <c r="C110" s="1"/>
      <c r="D110" s="1"/>
      <c r="E110" s="1"/>
    </row>
    <row r="111" spans="1:5" x14ac:dyDescent="0.25">
      <c r="A111" s="1"/>
      <c r="B111" s="1"/>
      <c r="C111" s="1"/>
      <c r="D111" s="1"/>
      <c r="E111" s="1"/>
    </row>
    <row r="112" spans="1:5" x14ac:dyDescent="0.25">
      <c r="A112" s="1"/>
      <c r="B112" s="1"/>
      <c r="C112" s="1"/>
      <c r="D112" s="1"/>
      <c r="E112" s="1"/>
    </row>
    <row r="113" spans="1:5" x14ac:dyDescent="0.25">
      <c r="A113" s="1"/>
      <c r="B113" s="1"/>
      <c r="C113" s="1"/>
      <c r="D113" s="1"/>
      <c r="E113" s="1"/>
    </row>
    <row r="114" spans="1:5" x14ac:dyDescent="0.25">
      <c r="A114" s="1"/>
      <c r="B114" s="1"/>
      <c r="C114" s="1"/>
      <c r="D114" s="1"/>
      <c r="E114" s="1"/>
    </row>
    <row r="115" spans="1:5" x14ac:dyDescent="0.25">
      <c r="A115" s="1"/>
      <c r="B115" s="1"/>
      <c r="C115" s="1"/>
      <c r="D115" s="1"/>
      <c r="E115" s="1"/>
    </row>
    <row r="116" spans="1:5" x14ac:dyDescent="0.25">
      <c r="A116" s="1"/>
      <c r="B116" s="1"/>
      <c r="C116" s="1"/>
      <c r="D116" s="1"/>
      <c r="E116" s="1"/>
    </row>
    <row r="117" spans="1:5" x14ac:dyDescent="0.25">
      <c r="A117" s="1"/>
      <c r="B117" s="1"/>
      <c r="C117" s="1"/>
      <c r="D117" s="1"/>
      <c r="E117" s="1"/>
    </row>
    <row r="118" spans="1:5" x14ac:dyDescent="0.25">
      <c r="A118" s="1"/>
      <c r="B118" s="1"/>
      <c r="C118" s="1"/>
      <c r="D118" s="1"/>
      <c r="E118" s="1"/>
    </row>
    <row r="119" spans="1:5" x14ac:dyDescent="0.25">
      <c r="A119" s="1"/>
      <c r="B119" s="1"/>
      <c r="C119" s="1"/>
      <c r="D119" s="1"/>
      <c r="E119" s="1"/>
    </row>
    <row r="120" spans="1:5" x14ac:dyDescent="0.25">
      <c r="A120" s="1"/>
      <c r="B120" s="1"/>
      <c r="C120" s="1"/>
      <c r="D120" s="1"/>
      <c r="E120" s="1"/>
    </row>
    <row r="121" spans="1:5" x14ac:dyDescent="0.25">
      <c r="A121" s="1"/>
      <c r="B121" s="1"/>
      <c r="C121" s="1"/>
      <c r="D121" s="1"/>
      <c r="E121" s="1"/>
    </row>
    <row r="122" spans="1:5" x14ac:dyDescent="0.25">
      <c r="A122" s="1"/>
      <c r="B122" s="1"/>
      <c r="C122" s="1"/>
      <c r="D122" s="1"/>
      <c r="E122" s="1"/>
    </row>
    <row r="123" spans="1:5" x14ac:dyDescent="0.25">
      <c r="A123" s="1"/>
      <c r="B123" s="1"/>
      <c r="C123" s="1"/>
      <c r="D123" s="1"/>
      <c r="E123" s="1"/>
    </row>
    <row r="124" spans="1:5" x14ac:dyDescent="0.25">
      <c r="A124" s="1"/>
      <c r="B124" s="1"/>
      <c r="C124" s="1"/>
      <c r="D124" s="1"/>
      <c r="E124" s="1"/>
    </row>
    <row r="125" spans="1:5" x14ac:dyDescent="0.25">
      <c r="A125" s="1"/>
      <c r="B125" s="1"/>
      <c r="C125" s="1"/>
      <c r="D125" s="1"/>
      <c r="E125" s="1"/>
    </row>
    <row r="126" spans="1:5" x14ac:dyDescent="0.25">
      <c r="A126" s="1"/>
      <c r="B126" s="1"/>
      <c r="C126" s="1"/>
      <c r="D126" s="1"/>
      <c r="E126" s="1"/>
    </row>
    <row r="127" spans="1:5" x14ac:dyDescent="0.25">
      <c r="A127" s="1"/>
      <c r="B127" s="1"/>
      <c r="C127" s="1"/>
      <c r="D127" s="1"/>
      <c r="E127" s="1"/>
    </row>
    <row r="128" spans="1:5" x14ac:dyDescent="0.25">
      <c r="A128" s="1"/>
      <c r="B128" s="1"/>
      <c r="C128" s="1"/>
      <c r="D128" s="1"/>
      <c r="E128" s="1"/>
    </row>
    <row r="129" spans="1:5" x14ac:dyDescent="0.25">
      <c r="A129" s="1"/>
      <c r="B129" s="1"/>
      <c r="C129" s="1"/>
      <c r="D129" s="1"/>
      <c r="E129" s="1"/>
    </row>
    <row r="130" spans="1:5" x14ac:dyDescent="0.25">
      <c r="A130" s="1"/>
      <c r="B130" s="1"/>
      <c r="C130" s="1"/>
      <c r="D130" s="1"/>
      <c r="E130" s="1"/>
    </row>
    <row r="131" spans="1:5" x14ac:dyDescent="0.25">
      <c r="A131" s="1"/>
      <c r="B131" s="1"/>
      <c r="C131" s="1"/>
      <c r="D131" s="1"/>
      <c r="E131" s="1"/>
    </row>
    <row r="132" spans="1:5" x14ac:dyDescent="0.25">
      <c r="A132" s="1"/>
      <c r="B132" s="1"/>
      <c r="C132" s="1"/>
      <c r="D132" s="1"/>
      <c r="E132" s="1"/>
    </row>
  </sheetData>
  <mergeCells count="2">
    <mergeCell ref="E3:E4"/>
    <mergeCell ref="E5:E6"/>
  </mergeCells>
  <conditionalFormatting sqref="M22">
    <cfRule type="expression" dxfId="5" priority="6">
      <formula>$M$22&gt;$K$22</formula>
    </cfRule>
    <cfRule type="expression" dxfId="4" priority="5">
      <formula>$M$22&lt;=$K$22</formula>
    </cfRule>
  </conditionalFormatting>
  <conditionalFormatting sqref="M45">
    <cfRule type="expression" dxfId="3" priority="4">
      <formula>$M$45&gt;$K$45</formula>
    </cfRule>
    <cfRule type="expression" dxfId="2" priority="3">
      <formula>$M$45&lt;=$K$45</formula>
    </cfRule>
  </conditionalFormatting>
  <conditionalFormatting sqref="M57">
    <cfRule type="expression" dxfId="1" priority="2">
      <formula>$M$57&gt;=$K$57</formula>
    </cfRule>
    <cfRule type="expression" dxfId="0" priority="1">
      <formula>$M$57&lt;$K$57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DATA!$D$1:$D$11</xm:f>
          </x14:formula1>
          <xm:sqref>B26:B57</xm:sqref>
        </x14:dataValidation>
        <x14:dataValidation type="list" allowBlank="1" showInputMessage="1" showErrorMessage="1" xr:uid="{00000000-0002-0000-0100-000001000000}">
          <x14:formula1>
            <xm:f>DATA!$D$1:$D$12</xm:f>
          </x14:formula1>
          <xm:sqref>B12:B25</xm:sqref>
        </x14:dataValidation>
        <x14:dataValidation type="list" allowBlank="1" showInputMessage="1" showErrorMessage="1" xr:uid="{04782A1A-160E-40DF-A063-300ACD97FE53}">
          <x14:formula1>
            <xm:f>DATA!$C$15:$C$21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N52"/>
  <sheetViews>
    <sheetView workbookViewId="0">
      <selection activeCell="C20" sqref="C20"/>
    </sheetView>
  </sheetViews>
  <sheetFormatPr defaultRowHeight="15" x14ac:dyDescent="0.25"/>
  <cols>
    <col min="9" max="9" width="21.7109375" bestFit="1" customWidth="1"/>
    <col min="10" max="10" width="9.28515625" style="18"/>
  </cols>
  <sheetData>
    <row r="2" spans="3:14" x14ac:dyDescent="0.25">
      <c r="C2" s="40" t="s">
        <v>7</v>
      </c>
      <c r="D2" s="40" t="s">
        <v>9</v>
      </c>
    </row>
    <row r="3" spans="3:14" x14ac:dyDescent="0.25">
      <c r="C3" s="40" t="s">
        <v>8</v>
      </c>
      <c r="D3" s="40" t="s">
        <v>63</v>
      </c>
      <c r="H3" s="41" t="s">
        <v>53</v>
      </c>
      <c r="I3" s="41"/>
      <c r="J3" s="42"/>
    </row>
    <row r="4" spans="3:14" x14ac:dyDescent="0.25">
      <c r="C4" s="40"/>
      <c r="D4" s="40" t="s">
        <v>64</v>
      </c>
      <c r="H4" s="41" t="s">
        <v>19</v>
      </c>
      <c r="I4" s="40"/>
      <c r="J4" s="42"/>
    </row>
    <row r="5" spans="3:14" x14ac:dyDescent="0.25">
      <c r="D5" s="40" t="s">
        <v>22</v>
      </c>
      <c r="H5" s="40"/>
      <c r="I5" s="40" t="s">
        <v>20</v>
      </c>
      <c r="J5" s="42">
        <f>(SUMIF('My-Model'!B12:B204,"RN",'My-Model'!F12:F204)+SUMIF('My-Model'!B12:B204,"lpn",'My-Model'!F12:F204))/'My-Model'!F3</f>
        <v>6.2477511737203936E-2</v>
      </c>
      <c r="K5">
        <f>(SUMIF('My-Model'!B12:B204,"RN",'My-Model'!F12:F204)+SUMIF('My-Model'!B12:B204,"lpn",'My-Model'!F12:F204))</f>
        <v>25563.860999999997</v>
      </c>
      <c r="M5" s="40" t="s">
        <v>63</v>
      </c>
      <c r="N5" s="40">
        <f>(SUMIF('My-Model'!$B$12:$B$204,M5,'My-Model'!$D$12:$D$204))</f>
        <v>795.8</v>
      </c>
    </row>
    <row r="6" spans="3:14" x14ac:dyDescent="0.25">
      <c r="D6" s="40" t="s">
        <v>57</v>
      </c>
      <c r="H6" s="40"/>
      <c r="I6" s="40" t="s">
        <v>21</v>
      </c>
      <c r="J6" s="42">
        <f>SUMIF('My-Model'!B12:B204,"aide",'My-Model'!F12:F204)/'My-Model'!F3</f>
        <v>3.7135404013989327E-2</v>
      </c>
      <c r="M6" s="40" t="s">
        <v>64</v>
      </c>
      <c r="N6" s="40">
        <f>(SUMIF('My-Model'!$B$12:$B$204,M6,'My-Model'!$D$12:$D$204))</f>
        <v>0</v>
      </c>
    </row>
    <row r="7" spans="3:14" x14ac:dyDescent="0.25">
      <c r="D7" s="40" t="s">
        <v>25</v>
      </c>
      <c r="H7" s="40"/>
      <c r="I7" s="40" t="s">
        <v>22</v>
      </c>
      <c r="J7" s="42">
        <f>SUMIF('My-Model'!B12:B204,"sw",'My-Model'!F12:F204)/'My-Model'!F3</f>
        <v>6.1290750276780494E-3</v>
      </c>
      <c r="M7" s="40" t="s">
        <v>9</v>
      </c>
      <c r="N7" s="40">
        <f>(SUMIF('My-Model'!$B$12:$B$204,M7,'My-Model'!$D$12:$D$204))</f>
        <v>536.29999999999995</v>
      </c>
    </row>
    <row r="8" spans="3:14" x14ac:dyDescent="0.25">
      <c r="D8" s="40" t="s">
        <v>65</v>
      </c>
      <c r="H8" s="40"/>
      <c r="I8" s="40" t="s">
        <v>66</v>
      </c>
      <c r="J8" s="42">
        <f>SUMIF('My-Model'!B12:B204,"sc",'My-Model'!F12:F204)/'My-Model'!F3</f>
        <v>1.4991898213207743E-2</v>
      </c>
      <c r="M8" s="40" t="s">
        <v>22</v>
      </c>
      <c r="N8" s="40">
        <f>(SUMIF('My-Model'!$B$12:$B$204,M8,'My-Model'!$D$12:$D$204))</f>
        <v>86.5</v>
      </c>
    </row>
    <row r="9" spans="3:14" x14ac:dyDescent="0.25">
      <c r="D9" s="40" t="s">
        <v>26</v>
      </c>
      <c r="H9" s="40"/>
      <c r="I9" s="40" t="s">
        <v>24</v>
      </c>
      <c r="J9" s="42">
        <f>SUMIF('My-Model'!B12:B204,"physician (net)",'My-Model'!F12:F204)/'My-Model'!F3</f>
        <v>0</v>
      </c>
      <c r="M9" s="40" t="s">
        <v>57</v>
      </c>
      <c r="N9" s="40">
        <f>(SUMIF('My-Model'!$B$12:$B$204,M9,'My-Model'!$D$12:$D$204))</f>
        <v>138.4</v>
      </c>
    </row>
    <row r="10" spans="3:14" x14ac:dyDescent="0.25">
      <c r="D10" s="40" t="s">
        <v>27</v>
      </c>
      <c r="H10" s="40"/>
      <c r="I10" s="40" t="s">
        <v>25</v>
      </c>
      <c r="J10" s="42">
        <f>SUMIF('My-Model'!B12:B204,"on-call",'My-Model'!F12:F204)/'My-Model'!F3</f>
        <v>8.9415131644870454E-3</v>
      </c>
    </row>
    <row r="11" spans="3:14" x14ac:dyDescent="0.25">
      <c r="D11" s="40" t="s">
        <v>28</v>
      </c>
      <c r="H11" s="40"/>
      <c r="I11" s="40" t="s">
        <v>26</v>
      </c>
      <c r="J11" s="42">
        <f>SUMIF('My-Model'!B12:B204,"admissions",'My-Model'!F12:F204)/'My-Model'!F3</f>
        <v>0</v>
      </c>
    </row>
    <row r="12" spans="3:14" x14ac:dyDescent="0.25">
      <c r="D12" s="40" t="s">
        <v>89</v>
      </c>
      <c r="H12" s="40"/>
      <c r="I12" s="40" t="s">
        <v>27</v>
      </c>
      <c r="J12" s="42">
        <f>SUMIF('My-Model'!B12:B204,"bereavement",'My-Model'!F12:F204)/'My-Model'!F3</f>
        <v>0</v>
      </c>
    </row>
    <row r="13" spans="3:14" x14ac:dyDescent="0.25">
      <c r="H13" s="40"/>
      <c r="I13" s="40" t="s">
        <v>28</v>
      </c>
      <c r="J13" s="42">
        <f>SUMIF('My-Model'!B12:B204,"volunteer",'My-Model'!F12:F204)/'My-Model'!F3</f>
        <v>6.420519394186754E-3</v>
      </c>
    </row>
    <row r="14" spans="3:14" x14ac:dyDescent="0.25">
      <c r="H14" s="40"/>
      <c r="I14" s="40" t="s">
        <v>89</v>
      </c>
      <c r="J14" s="42">
        <f>SUMIF('My-Model'!B12:B204,"Other_Labor",'My-Model'!F12:F204)/'My-Model'!F3</f>
        <v>0</v>
      </c>
    </row>
    <row r="15" spans="3:14" x14ac:dyDescent="0.25">
      <c r="C15">
        <v>1</v>
      </c>
      <c r="D15">
        <v>8</v>
      </c>
    </row>
    <row r="16" spans="3:14" x14ac:dyDescent="0.25">
      <c r="C16">
        <v>7</v>
      </c>
      <c r="D16">
        <v>40</v>
      </c>
      <c r="H16" s="7" t="s">
        <v>52</v>
      </c>
    </row>
    <row r="17" spans="3:9" x14ac:dyDescent="0.25">
      <c r="C17">
        <v>28</v>
      </c>
      <c r="D17">
        <v>173</v>
      </c>
      <c r="I17" t="s">
        <v>29</v>
      </c>
    </row>
    <row r="18" spans="3:9" x14ac:dyDescent="0.25">
      <c r="C18">
        <v>29</v>
      </c>
      <c r="D18">
        <v>173</v>
      </c>
      <c r="I18" t="s">
        <v>30</v>
      </c>
    </row>
    <row r="19" spans="3:9" x14ac:dyDescent="0.25">
      <c r="C19">
        <v>30</v>
      </c>
      <c r="D19">
        <v>173</v>
      </c>
      <c r="I19" t="s">
        <v>31</v>
      </c>
    </row>
    <row r="20" spans="3:9" x14ac:dyDescent="0.25">
      <c r="C20">
        <v>31</v>
      </c>
      <c r="D20">
        <v>173</v>
      </c>
      <c r="I20" t="s">
        <v>32</v>
      </c>
    </row>
    <row r="21" spans="3:9" x14ac:dyDescent="0.25">
      <c r="C21">
        <v>365</v>
      </c>
      <c r="D21">
        <v>2080</v>
      </c>
      <c r="I21" t="s">
        <v>33</v>
      </c>
    </row>
    <row r="22" spans="3:9" x14ac:dyDescent="0.25">
      <c r="I22" t="s">
        <v>34</v>
      </c>
    </row>
    <row r="23" spans="3:9" x14ac:dyDescent="0.25">
      <c r="I23" t="s">
        <v>35</v>
      </c>
    </row>
    <row r="24" spans="3:9" x14ac:dyDescent="0.25">
      <c r="I24" t="s">
        <v>36</v>
      </c>
    </row>
    <row r="25" spans="3:9" x14ac:dyDescent="0.25">
      <c r="I25" t="s">
        <v>37</v>
      </c>
    </row>
    <row r="26" spans="3:9" x14ac:dyDescent="0.25">
      <c r="I26" t="s">
        <v>38</v>
      </c>
    </row>
    <row r="27" spans="3:9" x14ac:dyDescent="0.25">
      <c r="I27" t="s">
        <v>39</v>
      </c>
    </row>
    <row r="28" spans="3:9" x14ac:dyDescent="0.25">
      <c r="I28" t="s">
        <v>40</v>
      </c>
    </row>
    <row r="29" spans="3:9" x14ac:dyDescent="0.25">
      <c r="I29" t="s">
        <v>41</v>
      </c>
    </row>
    <row r="30" spans="3:9" x14ac:dyDescent="0.25">
      <c r="I30" t="s">
        <v>6</v>
      </c>
    </row>
    <row r="31" spans="3:9" x14ac:dyDescent="0.25">
      <c r="I31" t="s">
        <v>42</v>
      </c>
    </row>
    <row r="32" spans="3:9" x14ac:dyDescent="0.25">
      <c r="I32" t="s">
        <v>43</v>
      </c>
    </row>
    <row r="33" spans="8:9" x14ac:dyDescent="0.25">
      <c r="I33" t="s">
        <v>44</v>
      </c>
    </row>
    <row r="34" spans="8:9" x14ac:dyDescent="0.25">
      <c r="I34" t="s">
        <v>45</v>
      </c>
    </row>
    <row r="35" spans="8:9" x14ac:dyDescent="0.25">
      <c r="I35" t="s">
        <v>46</v>
      </c>
    </row>
    <row r="36" spans="8:9" x14ac:dyDescent="0.25">
      <c r="I36" t="s">
        <v>47</v>
      </c>
    </row>
    <row r="37" spans="8:9" x14ac:dyDescent="0.25">
      <c r="I37" t="s">
        <v>48</v>
      </c>
    </row>
    <row r="38" spans="8:9" x14ac:dyDescent="0.25">
      <c r="I38" t="s">
        <v>49</v>
      </c>
    </row>
    <row r="39" spans="8:9" x14ac:dyDescent="0.25">
      <c r="I39" t="s">
        <v>50</v>
      </c>
    </row>
    <row r="42" spans="8:9" x14ac:dyDescent="0.25">
      <c r="H42" s="7" t="s">
        <v>54</v>
      </c>
    </row>
    <row r="44" spans="8:9" x14ac:dyDescent="0.25">
      <c r="H44" s="7" t="s">
        <v>61</v>
      </c>
    </row>
    <row r="45" spans="8:9" x14ac:dyDescent="0.25">
      <c r="I45" t="s">
        <v>55</v>
      </c>
    </row>
    <row r="46" spans="8:9" x14ac:dyDescent="0.25">
      <c r="I46" t="s">
        <v>55</v>
      </c>
    </row>
    <row r="47" spans="8:9" x14ac:dyDescent="0.25">
      <c r="I47" t="s">
        <v>55</v>
      </c>
    </row>
    <row r="48" spans="8:9" x14ac:dyDescent="0.25">
      <c r="H48" s="7" t="s">
        <v>56</v>
      </c>
    </row>
    <row r="50" spans="8:8" x14ac:dyDescent="0.25">
      <c r="H50" s="7" t="s">
        <v>62</v>
      </c>
    </row>
    <row r="52" spans="8:8" x14ac:dyDescent="0.25">
      <c r="H52" s="7" t="s">
        <v>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8EF178D4E5F4F8923C6BFBEF96009" ma:contentTypeVersion="10" ma:contentTypeDescription="Create a new document." ma:contentTypeScope="" ma:versionID="918c5b578a8c9b6e97010146e1cf4d78">
  <xsd:schema xmlns:xsd="http://www.w3.org/2001/XMLSchema" xmlns:xs="http://www.w3.org/2001/XMLSchema" xmlns:p="http://schemas.microsoft.com/office/2006/metadata/properties" xmlns:ns3="2e2ed4a0-7a8d-492e-acee-78529c002cfe" targetNamespace="http://schemas.microsoft.com/office/2006/metadata/properties" ma:root="true" ma:fieldsID="5b116e3f7398a96fd3f0ad0003b677c9" ns3:_="">
    <xsd:import namespace="2e2ed4a0-7a8d-492e-acee-78529c002c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ed4a0-7a8d-492e-acee-78529c002c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460ECA-A044-4082-88F3-C0D60BBE44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ed4a0-7a8d-492e-acee-78529c002c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45784B-9FCC-438F-BF5D-D62282AFA2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AC5CFC-C938-4EDB-84E1-3BAA98C5BB49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e2ed4a0-7a8d-492e-acee-78529c002cf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Instructions</vt:lpstr>
      <vt:lpstr>My-Model</vt:lpstr>
      <vt:lpstr>DATA</vt:lpstr>
      <vt:lpstr>Ben</vt:lpstr>
      <vt:lpstr>CC_Hours</vt:lpstr>
      <vt:lpstr>CC_rate</vt:lpstr>
      <vt:lpstr>census</vt:lpstr>
      <vt:lpstr>Days</vt:lpstr>
      <vt:lpstr>Hours</vt:lpstr>
      <vt:lpstr>NPR</vt:lpstr>
      <vt:lpstr>period</vt:lpstr>
      <vt:lpstr>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Taylor</dc:creator>
  <cp:lastModifiedBy>Denise Stanford</cp:lastModifiedBy>
  <dcterms:created xsi:type="dcterms:W3CDTF">2019-02-12T16:11:24Z</dcterms:created>
  <dcterms:modified xsi:type="dcterms:W3CDTF">2022-02-22T15:26:23Z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0x0101007D28EF178D4E5F4F8923C6BFBEF96009</vt:lpwstr>
  </property>
</Properties>
</file>